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<sst xmlns="http://schemas.openxmlformats.org/spreadsheetml/2006/main" count="3662" uniqueCount="2964">
  <si>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</si>
  <si>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</si>
  <si>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</si>
  <si>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</si>
  <si>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</si>
  <si>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</si>
  <si>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</si>
  <si>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</si>
  <si>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</si>
  <si>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</si>
  <si>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</si>
  <si>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</si>
  <si>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</si>
  <si>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</si>
  <si>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</si>
  <si>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</si>
  <si>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</si>
  <si>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</si>
  <si>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</si>
  <si>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</si>
  <si>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</si>
  <si>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</si>
  <si>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</si>
  <si>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</si>
  <si>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</si>
  <si>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</si>
  <si>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</si>
  <si>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</si>
  <si>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</si>
  <si>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</si>
  <si>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</si>
  <si>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</si>
  <si>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</si>
  <si>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</si>
  <si>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</si>
  <si>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</si>
  <si>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</si>
  <si>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</si>
  <si>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</si>
  <si>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</si>
  <si>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</si>
  <si>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</si>
  <si>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</si>
  <si>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</si>
  <si>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</si>
  <si>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</si>
  <si>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</si>
  <si>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</si>
  <si>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</si>
  <si>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</si>
  <si>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</si>
  <si>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</si>
  <si>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</si>
  <si>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</si>
  <si>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</si>
  <si>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</si>
  <si>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</si>
  <si>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</si>
  <si>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</si>
  <si>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</si>
  <si>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</si>
  <si>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</si>
  <si>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</si>
  <si>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</si>
  <si>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</si>
  <si>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</si>
  <si>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</si>
  <si>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</si>
  <si>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</si>
  <si>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</si>
  <si>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</si>
  <si>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</si>
  <si>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</si>
  <si>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</si>
  <si>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</si>
  <si>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</si>
  <si>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</si>
  <si>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</si>
  <si>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</si>
  <si>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</si>
  <si>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</si>
  <si>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</si>
  <si>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</si>
  <si>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</si>
  <si>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</si>
  <si>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</si>
  <si>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</si>
  <si>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</si>
  <si>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</si>
  <si>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</si>
  <si>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</si>
  <si>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</si>
  <si>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</si>
  <si>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</si>
  <si>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</si>
  <si>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</si>
  <si>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</si>
  <si>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</si>
  <si>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</si>
  <si>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</si>
  <si>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</si>
  <si>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</si>
  <si>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</si>
  <si>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</si>
  <si>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</si>
  <si>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</si>
  <si>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</si>
  <si>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</si>
  <si>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</si>
  <si>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</si>
  <si>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</si>
  <si>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</si>
  <si>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</si>
  <si>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</si>
  <si>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</si>
  <si>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</si>
  <si>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</si>
  <si>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</si>
  <si>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</si>
  <si>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</si>
  <si>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</si>
  <si>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</si>
  <si>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</si>
  <si>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</si>
  <si>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</si>
  <si>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</si>
  <si>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</si>
  <si>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</si>
  <si>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</si>
  <si>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</si>
  <si>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</si>
  <si>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</si>
  <si>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</si>
  <si>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</si>
  <si>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</si>
  <si>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</si>
  <si>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</si>
  <si>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</si>
  <si>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</si>
  <si>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</si>
  <si>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</si>
  <si>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</si>
  <si>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</si>
  <si>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</si>
  <si>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</si>
  <si>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</si>
  <si>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</si>
  <si>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</si>
  <si>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</si>
  <si>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</si>
  <si>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</si>
  <si>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</si>
  <si>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</si>
  <si>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</si>
  <si>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</si>
  <si>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</si>
  <si>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</si>
  <si>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</si>
  <si>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</si>
  <si>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</si>
  <si>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</si>
  <si>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</si>
  <si>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</si>
  <si>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</si>
  <si>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</si>
  <si>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</si>
  <si>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</si>
  <si>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</si>
  <si>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</si>
  <si>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</si>
  <si>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</si>
  <si>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</si>
  <si>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</si>
  <si>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</si>
  <si>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</si>
  <si>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</si>
  <si>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</si>
  <si>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</si>
  <si>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</si>
  <si>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</si>
  <si>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</si>
  <si>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</si>
  <si>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</si>
  <si>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</si>
  <si>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</si>
  <si>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</si>
  <si>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</si>
  <si>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</si>
  <si>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</si>
  <si>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</si>
  <si>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</si>
  <si>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</si>
  <si>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</si>
  <si>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</si>
  <si>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</si>
  <si>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</si>
  <si>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</si>
  <si>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</si>
  <si>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</si>
  <si>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</si>
  <si>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</si>
  <si>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</si>
  <si>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</si>
  <si>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</si>
  <si>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</si>
  <si>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</si>
  <si>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</si>
  <si>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</si>
  <si>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</si>
  <si>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</si>
  <si>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</si>
  <si>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</si>
  <si>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</si>
  <si>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</si>
  <si>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</si>
  <si>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</si>
  <si>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</si>
  <si>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</si>
  <si>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</si>
  <si>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</si>
  <si>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</si>
  <si>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</si>
  <si>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</si>
  <si>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</si>
  <si>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</si>
  <si>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</si>
  <si>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</si>
  <si>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</si>
  <si>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</si>
  <si>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</si>
  <si>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</si>
  <si>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</si>
  <si>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</si>
  <si>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</si>
  <si>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</si>
  <si>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</si>
  <si>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</si>
  <si>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</si>
  <si>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</si>
  <si>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</si>
  <si>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</si>
  <si>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</si>
  <si>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</si>
  <si>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</si>
  <si>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</si>
  <si>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</si>
  <si>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</si>
  <si>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</si>
  <si>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</si>
  <si>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</si>
  <si>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</si>
  <si>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</si>
  <si>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</si>
  <si>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</si>
  <si>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</si>
  <si>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</si>
  <si>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</si>
  <si>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</si>
  <si>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</si>
  <si>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</si>
  <si>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</si>
  <si>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</si>
  <si>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</si>
  <si>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</si>
  <si>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</si>
  <si>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</si>
  <si>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</si>
  <si>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</si>
  <si>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</si>
  <si>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</si>
  <si>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</si>
  <si>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</si>
  <si>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</si>
  <si>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</si>
  <si>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</si>
  <si>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</si>
  <si>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</si>
  <si>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</si>
  <si>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</si>
  <si>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</si>
  <si>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</si>
  <si>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</si>
  <si>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</si>
  <si>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</si>
  <si>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</si>
  <si>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</si>
  <si>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</si>
  <si>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</si>
  <si>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</si>
  <si>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</si>
  <si>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</si>
  <si>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</si>
  <si>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</si>
  <si>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</si>
  <si>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</si>
  <si>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</si>
  <si>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</si>
  <si>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</si>
  <si>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</si>
  <si>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</si>
  <si>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</si>
  <si>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</si>
  <si>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</si>
  <si>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</si>
  <si>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</si>
  <si>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</si>
  <si>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</si>
  <si>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</si>
  <si>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</si>
  <si>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</si>
  <si>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</si>
  <si>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</si>
  <si>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</si>
  <si>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</si>
  <si>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</si>
  <si>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</si>
  <si>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</si>
  <si>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</si>
  <si>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</si>
  <si>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</si>
  <si>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</si>
  <si>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</si>
  <si>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</si>
  <si>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</si>
  <si>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</si>
  <si>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</si>
  <si>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</si>
  <si>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</si>
  <si>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</si>
  <si>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</si>
  <si>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</si>
  <si>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</si>
  <si>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</si>
  <si>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</si>
  <si>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</si>
  <si>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</si>
  <si>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</si>
  <si>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</si>
  <si>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</si>
  <si>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</si>
  <si>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</si>
  <si>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</si>
  <si>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</si>
  <si>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</si>
  <si>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</si>
  <si>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</si>
  <si>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</si>
  <si>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</si>
  <si>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</si>
  <si>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</si>
  <si>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</si>
  <si>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</si>
  <si>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</si>
  <si>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</si>
  <si>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</si>
  <si>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</si>
  <si>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</si>
  <si>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</si>
  <si>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</si>
  <si>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</si>
  <si>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</si>
  <si>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</si>
  <si>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</si>
  <si>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</si>
  <si>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</si>
  <si>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</si>
  <si>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</si>
  <si>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</si>
  <si>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</si>
  <si>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</si>
  <si>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</si>
  <si>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</si>
  <si>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</si>
  <si>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</si>
  <si>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</si>
  <si>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</si>
  <si>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</si>
  <si>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</si>
  <si>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</si>
  <si>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</si>
  <si>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</si>
  <si>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</si>
  <si>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</si>
  <si>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</si>
  <si>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</si>
  <si>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</si>
  <si>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</si>
  <si>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</si>
  <si>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</si>
  <si>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</si>
  <si>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</si>
  <si>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</si>
  <si>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</si>
  <si>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</si>
  <si>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</si>
  <si>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</si>
  <si>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</si>
  <si>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</si>
  <si>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</si>
  <si>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</si>
  <si>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</si>
  <si>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</si>
  <si>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</si>
  <si>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</si>
  <si>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</si>
  <si>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</si>
  <si>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</si>
  <si>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</si>
  <si>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</si>
  <si>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</si>
  <si>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</si>
  <si>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</si>
  <si>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</si>
  <si>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</si>
  <si>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</si>
  <si>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</si>
  <si>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</si>
  <si>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</si>
  <si>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</si>
  <si>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</si>
  <si>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</si>
  <si>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</si>
  <si>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</si>
  <si>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</si>
  <si>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</si>
  <si>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</si>
  <si>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</si>
  <si>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</si>
  <si>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</si>
  <si>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</si>
  <si>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</si>
  <si>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</si>
  <si>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</si>
  <si>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</si>
  <si>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</si>
  <si>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</si>
  <si>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</si>
  <si>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</si>
  <si>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</si>
  <si>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</si>
  <si>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</si>
  <si>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</si>
  <si>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</si>
  <si>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</si>
  <si>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</si>
  <si>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</si>
  <si>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</si>
  <si>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</si>
  <si>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</si>
  <si>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</si>
  <si>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</si>
  <si>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</si>
  <si>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</si>
  <si>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</si>
  <si>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</si>
  <si>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</si>
  <si>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</si>
  <si>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</si>
  <si>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</si>
  <si>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</si>
  <si>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</si>
  <si>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</si>
  <si>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</si>
  <si>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</si>
  <si>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</si>
  <si>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</si>
  <si>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</si>
  <si>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</si>
  <si>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</si>
  <si>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</si>
  <si>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</si>
  <si>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</si>
  <si>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</si>
  <si>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</si>
  <si>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</si>
  <si>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</si>
  <si>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</si>
  <si>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</si>
  <si>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</si>
  <si>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</si>
  <si>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</si>
  <si>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</si>
  <si>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</si>
  <si>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</si>
  <si>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</si>
  <si>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</si>
  <si>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</si>
  <si>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</si>
  <si>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</si>
  <si>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</si>
  <si>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</si>
  <si>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</si>
  <si>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</si>
  <si>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</si>
  <si>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</si>
  <si>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</si>
  <si>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</si>
  <si>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</si>
  <si>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</si>
  <si>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</si>
  <si>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</si>
  <si>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</si>
  <si>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</si>
  <si>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</si>
  <si>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</si>
  <si>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</si>
  <si>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</si>
  <si>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</si>
  <si>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</si>
  <si>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</si>
  <si>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</si>
  <si>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</si>
  <si>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</si>
  <si>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</si>
  <si>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</si>
  <si>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</si>
  <si>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</si>
  <si>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</si>
  <si>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</si>
  <si>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</si>
  <si>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</si>
  <si>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</si>
  <si>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</si>
  <si>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</si>
  <si>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</si>
  <si>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</si>
  <si>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</si>
  <si>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</si>
  <si>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</si>
  <si>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</si>
  <si>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</si>
  <si>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</si>
  <si>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</si>
  <si>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</si>
  <si>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</si>
  <si>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</si>
  <si>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</si>
  <si>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</si>
  <si>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</si>
  <si>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</si>
  <si>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</si>
  <si>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</si>
  <si>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</si>
  <si>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</si>
  <si>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</si>
  <si>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</si>
  <si>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</si>
  <si>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</si>
  <si>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</si>
  <si>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</si>
  <si>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</si>
  <si>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</si>
  <si>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</si>
  <si>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</si>
  <si>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</si>
  <si>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</si>
  <si>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</si>
  <si>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</si>
  <si>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</si>
  <si>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</si>
  <si>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</si>
  <si>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</si>
  <si>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</si>
  <si>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</si>
  <si>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</si>
  <si>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</si>
  <si>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</si>
  <si>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</si>
  <si>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</si>
  <si>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</si>
  <si>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</si>
  <si>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</si>
  <si>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</si>
  <si>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</si>
  <si>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</si>
  <si>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</si>
  <si>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</si>
  <si>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</si>
  <si>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</si>
  <si>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</si>
  <si>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</si>
  <si>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</si>
  <si>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</si>
  <si>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</si>
  <si>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</si>
  <si>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</si>
  <si>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</si>
  <si>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</si>
  <si>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</si>
  <si>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</si>
  <si>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</si>
  <si>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</si>
  <si>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</si>
  <si>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</si>
  <si>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</si>
  <si>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</si>
  <si>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</si>
  <si>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</si>
  <si>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</si>
  <si>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</si>
  <si>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</si>
  <si>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</si>
  <si>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</si>
  <si>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</si>
  <si>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</si>
  <si>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</si>
  <si>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</si>
  <si>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</si>
  <si>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</si>
  <si>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</si>
  <si>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</si>
  <si>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</si>
  <si>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</si>
  <si>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</si>
  <si>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</si>
  <si>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</si>
  <si>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</si>
  <si>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</si>
  <si>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</si>
  <si>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</si>
  <si>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</si>
  <si>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</si>
  <si>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</si>
  <si>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</si>
  <si>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</si>
  <si>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</si>
  <si>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</si>
  <si>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</si>
  <si>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</si>
  <si>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</si>
  <si>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</si>
  <si>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</si>
  <si>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</si>
  <si>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</si>
  <si>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</si>
  <si>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</si>
  <si>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</si>
  <si>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</si>
  <si>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</si>
  <si>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</si>
  <si>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</si>
  <si>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</si>
  <si>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</si>
  <si>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</si>
  <si>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</si>
  <si>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</si>
  <si>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</si>
  <si>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</si>
  <si>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</si>
  <si>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</si>
  <si>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</si>
  <si>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</si>
  <si>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</si>
  <si>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</si>
  <si>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</si>
  <si>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</si>
  <si>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</si>
  <si>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</si>
  <si>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</si>
  <si>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</si>
  <si>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</si>
  <si>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</si>
  <si>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</si>
  <si>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</si>
  <si>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</si>
  <si>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</si>
  <si>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</si>
  <si>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</si>
  <si>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</si>
  <si>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</si>
  <si>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</si>
  <si>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</si>
  <si>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</si>
  <si>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</si>
  <si>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</si>
  <si>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</si>
  <si>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</si>
  <si>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</si>
  <si>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</si>
  <si>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</si>
  <si>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</si>
  <si>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</si>
  <si>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</si>
  <si>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</si>
  <si>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</si>
  <si>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</si>
  <si>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</si>
  <si>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</si>
  <si>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</si>
  <si>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</si>
  <si>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</si>
  <si>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</si>
  <si>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</si>
  <si>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</si>
  <si>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</si>
  <si>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</si>
  <si>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</si>
  <si>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</si>
  <si>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</si>
  <si>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</si>
  <si>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</si>
  <si>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</si>
  <si>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</si>
  <si>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</si>
  <si>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</si>
  <si>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</si>
  <si>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</si>
  <si>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</si>
  <si>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</si>
  <si>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</si>
  <si>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</si>
  <si>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</si>
  <si>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</si>
  <si>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</si>
  <si>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</si>
  <si>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</si>
  <si>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</si>
  <si>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</si>
  <si>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</si>
  <si>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</si>
  <si>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</si>
  <si>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</si>
  <si>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</si>
  <si>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</si>
  <si>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</si>
  <si>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</si>
  <si>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</si>
  <si>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</si>
  <si>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</si>
  <si>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</si>
  <si>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</si>
  <si>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</si>
  <si>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</si>
  <si>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</si>
  <si>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</si>
  <si>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</si>
  <si>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</si>
  <si>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</si>
  <si>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</si>
  <si>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</si>
  <si>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</si>
  <si>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</si>
  <si>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</si>
  <si>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</si>
  <si>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</si>
  <si>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</si>
  <si>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</si>
  <si>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</si>
  <si>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</si>
  <si>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</si>
  <si>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</si>
  <si>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</si>
  <si>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</si>
  <si>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</si>
  <si>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</si>
  <si>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</si>
  <si>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</si>
  <si>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</si>
  <si>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</si>
  <si>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</si>
  <si>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</si>
  <si>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</si>
  <si>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</si>
  <si>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</si>
  <si>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</si>
  <si>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</si>
  <si>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</si>
  <si>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</si>
  <si>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</si>
  <si>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</si>
  <si>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</si>
  <si>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</si>
  <si>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</si>
  <si>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</si>
  <si>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</si>
  <si>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</si>
  <si>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</si>
  <si>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</si>
  <si>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</si>
  <si>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</si>
  <si>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</si>
  <si>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</si>
  <si>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</si>
  <si>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</si>
  <si>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</si>
  <si>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</si>
  <si>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</si>
  <si>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</si>
  <si>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</si>
  <si>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</si>
  <si>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</si>
  <si>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</si>
  <si>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</si>
  <si>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</si>
  <si>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</si>
  <si>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</si>
  <si>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</si>
  <si>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</si>
  <si>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</si>
  <si>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</si>
  <si>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</si>
  <si>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</si>
  <si>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</si>
  <si>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</si>
  <si>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</si>
  <si>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</si>
  <si>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</si>
  <si>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</si>
  <si>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</si>
  <si>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</si>
  <si>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</si>
  <si>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</si>
  <si>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</si>
  <si>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</si>
  <si>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</si>
  <si>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</si>
  <si>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</si>
  <si>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</si>
  <si>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</si>
  <si>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</si>
  <si>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</si>
  <si>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</si>
  <si>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</si>
  <si>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</si>
  <si>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</si>
  <si>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</si>
  <si>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</si>
  <si>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</si>
  <si>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</si>
  <si>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</si>
  <si>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</si>
  <si>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</si>
  <si>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</si>
  <si>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</si>
  <si>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</si>
  <si>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</si>
  <si>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</si>
  <si>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</si>
  <si>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</si>
  <si>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</si>
  <si>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</si>
  <si>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</si>
  <si>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</si>
  <si>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</si>
  <si>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</si>
  <si>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</si>
  <si>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</si>
  <si>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</si>
  <si>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</si>
  <si>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</si>
  <si>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</si>
  <si>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</si>
  <si>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</si>
  <si>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</si>
  <si>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</si>
  <si>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</si>
  <si>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</si>
  <si>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</si>
  <si>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</si>
  <si>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</si>
  <si>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</si>
  <si>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</si>
  <si>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</si>
  <si>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</si>
  <si>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</si>
  <si>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</si>
  <si>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</si>
  <si>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</si>
  <si>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</si>
  <si>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</si>
  <si>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</si>
  <si>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</si>
  <si>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</si>
  <si>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</si>
  <si>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</si>
  <si>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</si>
  <si>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</si>
  <si>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</si>
  <si>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</si>
  <si>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</si>
  <si>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</si>
  <si>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</si>
  <si>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</si>
  <si>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</si>
  <si>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</si>
  <si>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</si>
  <si>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</si>
  <si>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</si>
  <si>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</si>
  <si>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</si>
  <si>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</si>
  <si>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</si>
  <si>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</si>
  <si>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</si>
  <si>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</si>
  <si>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</si>
  <si>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</si>
  <si>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</si>
  <si>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</si>
  <si>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</si>
  <si>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</si>
  <si>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</si>
  <si>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</si>
  <si>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</si>
  <si>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</si>
  <si>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</si>
  <si>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</si>
  <si>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</si>
  <si>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</si>
  <si>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</si>
  <si>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</si>
  <si>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</si>
  <si>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</si>
  <si>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</si>
  <si>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</si>
  <si>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</si>
  <si>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</si>
  <si>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</si>
  <si>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</si>
  <si>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</si>
  <si>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</si>
  <si>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</si>
  <si>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</si>
  <si>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</si>
  <si>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</si>
  <si>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</si>
  <si>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</si>
  <si>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</si>
  <si>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</si>
  <si>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</si>
  <si>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</si>
  <si>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</si>
  <si>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</si>
  <si>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</si>
  <si>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</si>
  <si>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</si>
  <si>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</si>
  <si>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</si>
  <si>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</si>
  <si>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</si>
  <si>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</si>
  <si>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</si>
  <si>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</si>
  <si>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</si>
  <si>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</si>
  <si>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</si>
  <si>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</si>
  <si>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</si>
  <si>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</si>
  <si>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</si>
  <si>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</si>
  <si>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</si>
  <si>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</si>
  <si>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</si>
  <si>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</si>
  <si>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</si>
  <si>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</si>
  <si>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</si>
  <si>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</si>
  <si>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</si>
  <si>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</si>
  <si>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</si>
  <si>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</si>
  <si>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</si>
  <si>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</si>
  <si>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</si>
  <si>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</si>
  <si>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</si>
  <si>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</si>
  <si>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</si>
  <si>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</si>
  <si>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</si>
  <si>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</si>
  <si>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</si>
  <si>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</si>
  <si>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</si>
  <si>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</si>
  <si>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</si>
  <si>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</si>
  <si>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</si>
  <si>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</si>
  <si>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</si>
  <si>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</si>
  <si>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</si>
  <si>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</si>
  <si>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</si>
  <si>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</si>
  <si>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</si>
  <si>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</si>
  <si>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</si>
  <si>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</si>
  <si>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</si>
  <si>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</si>
  <si>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</si>
  <si>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</si>
  <si>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</si>
  <si>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</si>
  <si>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</si>
  <si>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</si>
  <si>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</si>
  <si>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</si>
  <si>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</si>
  <si>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</si>
  <si>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</si>
  <si>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</si>
  <si>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</si>
  <si>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</si>
  <si>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</si>
  <si>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</si>
  <si>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</si>
  <si>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</si>
  <si>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</si>
  <si>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</si>
  <si>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</si>
  <si>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</si>
  <si>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</si>
  <si>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</si>
  <si>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</si>
  <si>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</si>
  <si>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</si>
  <si>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</si>
  <si>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</si>
  <si>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</si>
  <si>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</si>
  <si>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</si>
  <si>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</si>
  <si>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</si>
  <si>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</si>
  <si>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</si>
  <si>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</si>
  <si>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</si>
  <si>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</si>
  <si>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</si>
  <si>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</si>
  <si>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</si>
  <si>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</si>
  <si>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</si>
  <si>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</si>
  <si>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</si>
  <si>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</si>
  <si>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</si>
  <si>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</si>
  <si>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</si>
  <si>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</si>
  <si>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</si>
  <si>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</si>
  <si>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</si>
  <si>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</si>
  <si>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</si>
  <si>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</si>
  <si>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</si>
  <si>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</si>
  <si>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</si>
  <si>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</si>
  <si>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</si>
  <si>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</si>
  <si>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</si>
  <si>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</si>
  <si>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</si>
  <si>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</si>
  <si>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</si>
  <si>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</si>
  <si>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</si>
  <si>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</si>
  <si>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</si>
  <si>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</si>
  <si>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</si>
  <si>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</si>
  <si>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</si>
  <si>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</si>
  <si>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</si>
  <si>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</si>
  <si>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</si>
  <si>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</si>
  <si>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</si>
  <si>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</si>
  <si>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</si>
  <si>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</si>
  <si>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</si>
  <si>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</si>
  <si>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</si>
  <si>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</si>
  <si>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</si>
  <si>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</si>
  <si>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</si>
  <si>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</si>
  <si>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</si>
  <si>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</si>
  <si>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</si>
  <si>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</si>
  <si>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</si>
  <si>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</si>
  <si>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</si>
  <si>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</si>
  <si>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</si>
  <si>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</si>
  <si>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</si>
  <si>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</si>
  <si>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</si>
  <si>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</si>
  <si>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</si>
  <si>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</si>
  <si>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</si>
  <si>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</si>
  <si>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</si>
  <si>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</si>
  <si>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</si>
  <si>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</si>
  <si>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</si>
  <si>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</si>
  <si>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</si>
  <si>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</si>
  <si>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</si>
  <si>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</si>
  <si>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</si>
  <si>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</si>
  <si>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</si>
  <si>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</si>
  <si>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</si>
  <si>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</si>
  <si>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</si>
  <si>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</si>
  <si>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</si>
  <si>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</si>
  <si>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</si>
  <si>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</si>
  <si>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</si>
  <si>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</si>
  <si>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</si>
  <si>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</si>
  <si>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</si>
  <si>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</si>
  <si>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</si>
  <si>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</si>
  <si>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</si>
  <si>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</si>
  <si>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</si>
  <si>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</si>
  <si>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</si>
  <si>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</si>
  <si>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</si>
  <si>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</si>
  <si>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</si>
  <si>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</si>
  <si>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</si>
  <si>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</si>
  <si>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</si>
  <si>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</si>
  <si>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</si>
  <si>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</si>
  <si>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</si>
  <si>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</si>
  <si>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</si>
  <si>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</si>
  <si>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</si>
  <si>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</si>
  <si>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</si>
  <si>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</si>
  <si>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</si>
  <si>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</si>
  <si>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</si>
  <si>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</si>
  <si>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</si>
  <si>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</si>
  <si>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</si>
  <si>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</si>
  <si>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</si>
  <si>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</si>
  <si>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</si>
  <si>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</si>
  <si>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</si>
  <si>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</si>
  <si>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</si>
  <si>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</si>
  <si>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</si>
  <si>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</si>
  <si>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</si>
  <si>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</si>
  <si>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</si>
  <si>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</si>
  <si>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</si>
  <si>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</si>
  <si>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</si>
  <si>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</si>
  <si>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</si>
  <si>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</si>
  <si>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</si>
  <si>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</si>
  <si>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</si>
  <si>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</si>
  <si>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</si>
  <si>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</si>
  <si>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</si>
  <si>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</si>
  <si>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</si>
  <si>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</si>
  <si>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</si>
  <si>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</si>
  <si>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</si>
  <si>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</si>
  <si>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</si>
  <si>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</si>
  <si>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</si>
  <si>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</si>
  <si>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</si>
  <si>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</si>
  <si>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</si>
  <si>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</si>
  <si>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</si>
  <si>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</si>
  <si>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</si>
  <si>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</si>
  <si>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</si>
  <si>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</si>
  <si>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</si>
  <si>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</si>
  <si>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</si>
  <si>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</si>
  <si>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</si>
  <si>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</si>
  <si>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</si>
  <si>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</si>
  <si>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</si>
  <si>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</si>
  <si>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</si>
  <si>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</si>
  <si>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</si>
  <si>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</si>
  <si>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</si>
  <si>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</si>
  <si>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</si>
  <si>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</si>
  <si>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</si>
  <si>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</si>
  <si>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</si>
  <si>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</si>
  <si>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</si>
  <si>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</si>
  <si>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</si>
  <si>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</si>
  <si>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</si>
  <si>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</si>
  <si>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</si>
  <si>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</si>
  <si>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</si>
  <si>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</si>
  <si>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</si>
  <si>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</si>
  <si>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</si>
  <si>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</si>
  <si>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</si>
  <si>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</si>
  <si>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</si>
  <si>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</si>
  <si>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</si>
  <si>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</si>
  <si>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</si>
  <si>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</si>
  <si>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</si>
  <si>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</si>
  <si>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</si>
  <si>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</si>
  <si>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</si>
  <si>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</si>
  <si>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</si>
  <si>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</si>
  <si>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</si>
  <si>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</si>
  <si>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</si>
  <si>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</si>
  <si>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</si>
  <si>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</si>
  <si>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</si>
  <si>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</si>
  <si>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</si>
  <si>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</si>
  <si>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</si>
  <si>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</si>
  <si>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</si>
  <si>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</si>
  <si>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</si>
  <si>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</si>
  <si>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</si>
  <si>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</si>
  <si>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</si>
  <si>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</si>
  <si>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</si>
  <si>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</si>
  <si>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</si>
  <si>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</si>
  <si>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</si>
  <si>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</si>
  <si>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</si>
  <si>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</si>
  <si>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</si>
  <si>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</si>
  <si>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</si>
  <si>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</si>
  <si>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</si>
  <si>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</si>
  <si>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</si>
  <si>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</si>
  <si>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</si>
  <si>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</si>
  <si>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</si>
  <si>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</si>
  <si>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</si>
  <si>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</si>
  <si>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</si>
  <si>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</si>
  <si>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</si>
  <si>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</si>
  <si>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</si>
  <si>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</si>
  <si>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</si>
  <si>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</si>
  <si>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</si>
  <si>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</si>
  <si>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</si>
  <si>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</si>
  <si>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</si>
  <si>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</si>
  <si>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</si>
  <si>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</si>
  <si>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</si>
  <si>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</si>
  <si>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</si>
  <si>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</si>
  <si>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</si>
  <si>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</si>
  <si>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</si>
  <si>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</si>
  <si>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</si>
  <si>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</si>
  <si>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</si>
  <si>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</si>
  <si>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</si>
  <si>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</si>
  <si>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</si>
  <si>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</si>
  <si>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</si>
  <si>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</si>
  <si>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</si>
  <si>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</si>
  <si>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</si>
  <si>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</si>
  <si>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</si>
  <si>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</si>
  <si>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</si>
  <si>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</si>
  <si>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</si>
  <si>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</si>
  <si>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</si>
  <si>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</si>
  <si>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</si>
  <si>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</si>
  <si>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</si>
  <si>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</si>
  <si>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</si>
  <si>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</si>
  <si>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</si>
  <si>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</si>
  <si>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</si>
  <si>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</si>
  <si>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</si>
  <si>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</si>
  <si>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</si>
  <si>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</si>
  <si>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</si>
  <si>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</si>
  <si>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</si>
  <si>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</si>
  <si>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</si>
  <si>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</si>
  <si>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</si>
  <si>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</si>
  <si>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</si>
  <si>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</si>
  <si>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</si>
  <si>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</si>
  <si>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</si>
  <si>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</si>
  <si>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</si>
  <si>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</si>
  <si>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</si>
  <si>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</si>
  <si>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</si>
  <si>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</si>
  <si>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</si>
  <si>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</si>
  <si>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</si>
  <si>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</si>
  <si>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</si>
  <si>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</si>
  <si>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</si>
  <si>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</si>
  <si>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</si>
  <si>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</si>
  <si>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</si>
  <si>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</si>
  <si>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</si>
  <si>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</si>
  <si>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</si>
  <si>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</si>
  <si>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</si>
  <si>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</si>
  <si>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</si>
  <si>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</si>
  <si>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</si>
  <si>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</si>
  <si>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</si>
  <si>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</si>
  <si>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</si>
  <si>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</si>
  <si>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</si>
  <si>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</si>
  <si>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</si>
  <si>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</si>
  <si>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</si>
  <si>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</si>
  <si>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</si>
  <si>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</si>
  <si>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</si>
  <si>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</si>
  <si>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</si>
  <si>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</si>
  <si>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</si>
  <si>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</si>
  <si>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</si>
  <si>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</si>
  <si>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</si>
  <si>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</si>
  <si>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</si>
  <si>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</si>
  <si>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</si>
  <si>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</si>
  <si>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</si>
  <si>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</si>
  <si>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</si>
  <si>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</si>
  <si>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</si>
  <si>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</si>
  <si>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</si>
  <si>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</si>
  <si>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</si>
  <si>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</si>
  <si>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</si>
  <si>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</si>
  <si>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</si>
  <si>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</si>
  <si>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</si>
  <si>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</si>
  <si>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</si>
  <si>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</si>
  <si>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</si>
  <si>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</si>
  <si>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</si>
  <si>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</si>
  <si>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</si>
  <si>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</si>
  <si>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</si>
  <si>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</si>
  <si>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</si>
  <si>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</si>
  <si>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</si>
  <si>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</si>
  <si>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</si>
  <si>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</si>
  <si>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</si>
  <si>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</si>
  <si>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</si>
  <si>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</si>
  <si>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</si>
  <si>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</si>
  <si>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</si>
  <si>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</si>
  <si>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</si>
  <si>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</si>
  <si>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</si>
  <si>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</si>
  <si>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</si>
  <si>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</si>
  <si>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</si>
  <si>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</si>
  <si>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</si>
  <si>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</si>
  <si>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</si>
  <si>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</si>
  <si>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</si>
  <si>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</si>
  <si>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</si>
  <si>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</si>
  <si>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</si>
  <si>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</si>
  <si>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</si>
  <si>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</si>
  <si>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</si>
  <si>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</si>
  <si>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</si>
  <si>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</si>
  <si>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</si>
  <si>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</si>
  <si>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</si>
  <si>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</si>
  <si>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</si>
  <si>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</si>
  <si>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</si>
  <si>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</si>
  <si>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</si>
  <si>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</si>
  <si>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</si>
  <si>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</si>
  <si>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</si>
  <si>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</si>
  <si>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</si>
  <si>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</si>
  <si>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</si>
  <si>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</si>
  <si>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</si>
  <si>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</si>
  <si>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</si>
  <si>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</si>
  <si>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</si>
  <si>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</si>
  <si>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</si>
  <si>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</si>
  <si>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</si>
  <si>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</si>
  <si>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</si>
  <si>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</si>
  <si>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</si>
  <si>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</si>
  <si>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</si>
  <si>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</si>
  <si>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</si>
  <si>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</si>
  <si>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</si>
  <si>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</si>
  <si>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</si>
  <si>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</si>
  <si>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</si>
  <si>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</si>
  <si>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</si>
  <si>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</si>
  <si>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</si>
  <si>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</si>
  <si>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</si>
  <si>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</si>
  <si>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</si>
  <si>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</si>
  <si>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</si>
  <si>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</si>
  <si>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</si>
  <si>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</si>
  <si>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</si>
  <si>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</si>
  <si>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</si>
  <si>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</si>
  <si>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</si>
  <si>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</si>
  <si>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</si>
  <si>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</si>
  <si>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</si>
  <si>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</si>
  <si>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</si>
  <si>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</si>
  <si>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</si>
  <si>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</si>
  <si>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</si>
  <si>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</si>
  <si>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</si>
  <si>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</si>
  <si>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</si>
  <si>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</si>
  <si>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</si>
  <si>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</si>
  <si>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</si>
  <si>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</si>
  <si>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</si>
  <si>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</si>
  <si>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</si>
  <si>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</si>
  <si>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</si>
  <si>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</si>
  <si>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</si>
  <si>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</si>
  <si>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</si>
  <si>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</si>
  <si>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</si>
  <si>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</si>
  <si>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</si>
  <si>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</si>
  <si>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</si>
  <si>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</si>
  <si>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</si>
  <si>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</si>
  <si>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</si>
  <si>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</si>
  <si>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</si>
  <si>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</si>
  <si>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</si>
  <si>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</si>
  <si>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</si>
  <si>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</si>
  <si>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</si>
  <si>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</si>
  <si>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</si>
  <si>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</si>
  <si>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</si>
  <si>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</si>
  <si>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</si>
  <si>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</si>
  <si>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</si>
  <si>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</si>
  <si>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</si>
  <si>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</si>
  <si>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</si>
  <si>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</si>
  <si>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</si>
  <si>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</si>
  <si>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</si>
  <si>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</si>
  <si>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</si>
  <si>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</si>
  <si>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</si>
  <si>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</si>
  <si>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</si>
  <si>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</si>
  <si>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</si>
  <si>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</si>
  <si>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</si>
  <si>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</si>
  <si>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</si>
  <si>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</si>
  <si>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</si>
  <si>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</si>
  <si>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</si>
  <si>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</si>
  <si>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</si>
  <si>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</si>
  <si>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</si>
  <si>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</si>
  <si>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</si>
  <si>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</si>
  <si>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</si>
  <si>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</si>
  <si>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</si>
  <si>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</si>
  <si>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</si>
  <si>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</si>
  <si>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</si>
  <si>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</si>
  <si>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</si>
  <si>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</si>
  <si>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</si>
  <si>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</si>
  <si>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</si>
  <si>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</si>
  <si>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</si>
  <si>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</si>
  <si>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</si>
  <si>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</si>
  <si>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</si>
  <si>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</si>
  <si>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</si>
  <si>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</si>
  <si>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</si>
  <si>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</si>
  <si>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</si>
  <si>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</si>
  <si>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</si>
  <si>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</si>
  <si>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</si>
  <si>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</si>
  <si>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</si>
  <si>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</si>
  <si>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</si>
  <si>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</si>
  <si>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</si>
  <si>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</si>
  <si>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</si>
  <si>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</si>
  <si>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</si>
  <si>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</si>
  <si>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</si>
  <si>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</si>
  <si>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</si>
  <si>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</si>
  <si>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</si>
  <si>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</si>
  <si>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</si>
  <si>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</si>
  <si>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</si>
  <si>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</si>
  <si>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</si>
  <si>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</si>
  <si>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</si>
  <si>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</si>
  <si>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</si>
  <si>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</si>
  <si>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</si>
  <si>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</si>
  <si>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</si>
  <si>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</si>
  <si>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</si>
  <si>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</si>
  <si>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</si>
  <si>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</si>
  <si>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</si>
  <si>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</si>
  <si>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</si>
  <si>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</si>
  <si>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</si>
  <si>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</si>
  <si>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</si>
  <si>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</si>
  <si>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</si>
  <si>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</si>
  <si>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</si>
  <si>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</si>
  <si>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</si>
  <si>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</si>
  <si>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</si>
  <si>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</si>
  <si>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</si>
  <si>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</si>
  <si>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</si>
  <si>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</si>
  <si>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</si>
  <si>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</si>
  <si>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</si>
  <si>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</si>
  <si>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</si>
  <si>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</si>
  <si>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</si>
  <si>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</si>
  <si>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</si>
  <si>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</si>
  <si>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</si>
  <si>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</si>
  <si>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</si>
  <si>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</si>
  <si>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</si>
  <si>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</si>
  <si>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</si>
  <si>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</si>
  <si>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</si>
  <si>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</si>
  <si>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</si>
  <si>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</si>
  <si>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</si>
  <si>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</si>
  <si>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</si>
  <si>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</si>
  <si>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</si>
  <si>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</si>
  <si>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</si>
  <si>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</si>
  <si>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</si>
  <si>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</si>
  <si>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</si>
  <si>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</si>
  <si>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</si>
  <si>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</si>
  <si>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</si>
  <si>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</si>
  <si>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</si>
  <si>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</si>
  <si>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</si>
  <si>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</si>
  <si>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</si>
  <si>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</si>
  <si>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</si>
  <si>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</si>
  <si>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</si>
  <si>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</si>
  <si>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</si>
  <si>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</si>
  <si>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</si>
  <si>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</si>
  <si>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</si>
  <si>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</si>
  <si>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</si>
  <si>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</si>
  <si>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</si>
  <si>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</si>
  <si>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</si>
  <si>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</si>
  <si>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</si>
  <si>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</si>
  <si>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</si>
  <si>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</si>
  <si>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</si>
  <si>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</si>
  <si>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</si>
  <si>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</si>
  <si>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</si>
  <si>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</si>
  <si>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</si>
  <si>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</si>
  <si>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</si>
  <si>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</si>
  <si>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</si>
  <si>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</si>
  <si>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</si>
  <si>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</si>
  <si>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</si>
  <si>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</si>
  <si>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</si>
  <si>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</si>
  <si>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</si>
  <si>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</si>
  <si>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</si>
  <si>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</si>
  <si>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</si>
  <si>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</si>
  <si>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</si>
  <si>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</si>
  <si>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</si>
  <si>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</si>
  <si>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</si>
  <si>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</si>
  <si>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</si>
  <si>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</si>
  <si>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</si>
  <si>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</si>
  <si>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</si>
  <si>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</si>
  <si>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</si>
  <si>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</si>
  <si>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</si>
  <si>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</si>
  <si>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</si>
  <si>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</si>
  <si>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</si>
  <si>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</si>
  <si>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</si>
  <si>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</si>
  <si>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</si>
  <si>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</si>
  <si>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</si>
  <si>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</si>
  <si>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</si>
  <si>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</si>
  <si>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</si>
  <si>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</si>
  <si>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</si>
  <si>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</si>
  <si>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</si>
  <si>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</si>
  <si>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</si>
  <si>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</si>
  <si>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</si>
  <si>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</si>
  <si>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</si>
  <si>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</si>
  <si>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</si>
  <si>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</si>
  <si>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</si>
  <si>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</si>
  <si>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</si>
  <si>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</si>
  <si>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</si>
  <si>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</si>
  <si>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</si>
  <si>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</si>
  <si>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</si>
  <si>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</si>
  <si>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</si>
  <si>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</si>
  <si>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</si>
  <si>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</si>
  <si>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</si>
  <si>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</si>
  <si>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</si>
  <si>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</si>
  <si>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</si>
  <si>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</si>
  <si>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</si>
  <si>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</si>
  <si>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</si>
  <si>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</si>
  <si>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</si>
  <si>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</si>
  <si>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</si>
  <si>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</si>
  <si>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</si>
  <si>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</si>
  <si>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</si>
  <si>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</si>
  <si>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</si>
  <si>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</si>
  <si>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</si>
  <si>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</si>
  <si>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</si>
  <si>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</si>
  <si>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</si>
  <si>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</si>
  <si>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</si>
  <si>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</si>
  <si>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</si>
  <si>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</si>
  <si>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</si>
  <si>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</si>
  <si>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</si>
  <si>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</si>
  <si>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</si>
  <si>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</si>
  <si>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</si>
  <si>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</si>
  <si>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</si>
  <si>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</si>
  <si>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</si>
  <si>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</si>
  <si>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</si>
  <si>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</si>
  <si>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</si>
  <si>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</si>
  <si>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</si>
  <si>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</si>
  <si>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</si>
  <si>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</si>
  <si>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</si>
  <si>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</si>
  <si>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</si>
  <si>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</si>
  <si>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</si>
  <si>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</si>
  <si>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</si>
  <si>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</si>
  <si>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</si>
  <si>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</si>
  <si>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</si>
  <si>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</si>
  <si>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</si>
  <si>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</si>
  <si>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</si>
  <si>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</si>
  <si>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</si>
  <si>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</si>
  <si>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</si>
  <si>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</si>
  <si>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</si>
  <si>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</si>
  <si>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</si>
  <si>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</si>
  <si>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</si>
  <si>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</si>
  <si>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</si>
  <si>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</si>
  <si>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</si>
  <si>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</si>
  <si>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</si>
  <si>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</si>
  <si>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</si>
  <si>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</si>
  <si>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</si>
  <si>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</si>
  <si>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</si>
  <si>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</si>
  <si>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</si>
  <si>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</si>
  <si>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</si>
  <si>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</si>
  <si>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</si>
  <si>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</si>
  <si>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</si>
  <si>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</si>
  <si>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</si>
  <si>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</si>
  <si>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</si>
  <si>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</si>
  <si>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</si>
  <si>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</si>
  <si>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</si>
  <si>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</si>
  <si>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</si>
  <si>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</si>
  <si>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</si>
  <si>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</si>
  <si>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</si>
  <si>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</si>
  <si>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</si>
  <si>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</si>
  <si>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</si>
  <si>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</si>
  <si>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</si>
  <si>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</si>
  <si>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</si>
  <si>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</si>
  <si>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</si>
  <si>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</si>
  <si>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</si>
  <si>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</si>
  <si>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</si>
  <si>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</si>
  <si>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</si>
  <si>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</si>
  <si>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</si>
  <si>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</si>
  <si>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</si>
  <si>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</si>
  <si>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</si>
  <si>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</si>
  <si>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</si>
  <si>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</si>
  <si>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</si>
  <si>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</si>
  <si>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</si>
  <si>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</si>
  <si>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</si>
  <si>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</si>
  <si>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</si>
  <si>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</si>
  <si>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</si>
  <si>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</si>
  <si>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</si>
  <si>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</si>
  <si>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</si>
  <si>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</si>
  <si>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</si>
  <si>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</si>
  <si>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</si>
  <si>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</si>
  <si>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</si>
  <si>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</si>
  <si>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</si>
  <si>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</si>
  <si>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</si>
  <si>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</si>
  <si>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</si>
  <si>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</si>
  <si>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</si>
  <si>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</si>
  <si>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</si>
  <si>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</si>
  <si>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</si>
  <si>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</si>
  <si>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</si>
  <si>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</si>
  <si>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</si>
  <si>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</si>
  <si>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</si>
  <si>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</si>
  <si>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</si>
  <si>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</si>
  <si>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</si>
  <si>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</si>
  <si>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</si>
  <si>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</si>
  <si>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</si>
  <si>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</si>
  <si>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</si>
  <si>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</si>
  <si>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</si>
  <si>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</si>
  <si>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</si>
  <si>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</si>
  <si>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</si>
  <si>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</si>
  <si>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</si>
  <si>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</si>
  <si>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</si>
  <si>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</si>
  <si>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</si>
  <si>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</si>
  <si>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</si>
  <si>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</si>
  <si>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</si>
  <si>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</si>
  <si>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</si>
  <si>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</si>
  <si>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</si>
  <si>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</si>
  <si>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</si>
  <si>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</si>
  <si>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</si>
  <si>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</si>
  <si>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</si>
  <si>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</si>
  <si>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</si>
  <si>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</si>
  <si>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</si>
  <si>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</si>
  <si>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</si>
  <si>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</si>
  <si>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</si>
  <si>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</si>
  <si>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</si>
  <si>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</si>
  <si>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</si>
  <si>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</si>
  <si>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</si>
  <si>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</si>
  <si>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</si>
  <si>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</si>
  <si>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</si>
  <si>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</si>
  <si>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</si>
  <si>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</si>
  <si>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</si>
  <si>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</si>
  <si>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</si>
  <si>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</si>
  <si>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</si>
  <si>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</si>
  <si>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</si>
  <si>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</si>
  <si>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</si>
  <si>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</si>
  <si>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</si>
  <si>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</si>
  <si>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</si>
  <si>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</si>
  <si>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</si>
  <si>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</si>
  <si>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</si>
  <si>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</si>
  <si>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</si>
  <si>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</si>
  <si>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</si>
  <si>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</si>
  <si>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</si>
  <si>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</si>
  <si>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</si>
  <si>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</si>
  <si>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</si>
  <si>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</si>
  <si>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</si>
  <si>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</si>
  <si>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</si>
  <si>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</si>
  <si>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</si>
  <si>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</si>
  <si>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</si>
  <si>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</si>
  <si>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</si>
  <si>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</si>
  <si>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</si>
  <si>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</si>
  <si>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</si>
  <si>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</si>
  <si>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</si>
  <si>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</si>
  <si>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</si>
  <si>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</si>
  <si>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</si>
  <si>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</si>
  <si>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</si>
  <si>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</si>
  <si>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</si>
  <si>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</si>
  <si>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</si>
  <si>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</si>
  <si>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</si>
  <si>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</si>
  <si>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</si>
  <si>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</si>
  <si>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</si>
  <si>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</si>
  <si>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</si>
  <si>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</si>
  <si>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</si>
  <si>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</si>
  <si>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</si>
  <si>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</si>
  <si>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</si>
  <si>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</si>
  <si>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</si>
  <si>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</si>
  <si>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</si>
  <si>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</si>
  <si>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</si>
  <si>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</si>
  <si>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</si>
  <si>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</si>
  <si>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</si>
  <si>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</si>
  <si>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</si>
  <si>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</si>
  <si>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</si>
  <si>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</si>
  <si>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</si>
  <si>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</si>
  <si>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</si>
  <si>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</si>
  <si>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</si>
  <si>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</si>
  <si>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</si>
  <si>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</si>
  <si>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</si>
  <si>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</si>
  <si>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</si>
  <si>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</si>
  <si>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</si>
  <si>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</si>
  <si>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</si>
  <si>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</si>
  <si>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</si>
  <si>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</si>
  <si>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</si>
  <si>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</si>
  <si>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</si>
  <si>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</si>
  <si>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</si>
  <si>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</si>
  <si>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</si>
  <si>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</si>
  <si>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</si>
  <si>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</si>
  <si>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</si>
  <si>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</si>
  <si>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</si>
  <si>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</si>
  <si>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</si>
  <si>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</si>
  <si>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</si>
  <si>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</si>
  <si>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</si>
  <si>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</si>
  <si>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</si>
  <si>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</si>
  <si>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</si>
  <si>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</si>
  <si>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</si>
  <si>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</si>
  <si>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</si>
  <si>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</si>
  <si>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</si>
  <si>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</si>
  <si>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</si>
  <si>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</si>
  <si>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</si>
  <si>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</si>
  <si>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</si>
  <si>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</si>
  <si>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</si>
  <si>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</si>
  <si>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</si>
  <si>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</si>
  <si>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</si>
  <si>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</si>
  <si>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</si>
  <si>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</si>
  <si>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</si>
  <si>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</si>
  <si>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</si>
  <si>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</si>
  <si>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</si>
  <si>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</si>
  <si>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</si>
  <si>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</si>
  <si>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</si>
  <si>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</si>
  <si>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</si>
  <si>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</si>
  <si>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</si>
  <si>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</si>
  <si>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</si>
  <si>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</si>
  <si>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</si>
  <si>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</si>
  <si>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</si>
  <si>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</si>
  <si>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</si>
  <si>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</si>
  <si>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</si>
  <si>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</si>
  <si>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</si>
  <si>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</si>
  <si>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</si>
  <si>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</si>
  <si>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</si>
  <si>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</si>
  <si>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</si>
  <si>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</si>
  <si>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</si>
  <si>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</si>
  <si>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</si>
  <si>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</si>
  <si>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</si>
  <si>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</si>
  <si>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</si>
  <si>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</si>
  <si>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</si>
  <si>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</si>
  <si>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</si>
  <si>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</si>
  <si>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</si>
  <si>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</si>
  <si>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</si>
  <si>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</si>
  <si>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</si>
  <si>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</si>
  <si>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</si>
  <si>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</si>
  <si>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</si>
  <si>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</si>
  <si>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</si>
  <si>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</si>
  <si>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</si>
  <si>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</si>
  <si>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</si>
  <si>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</si>
  <si>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</si>
  <si>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</si>
  <si>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</si>
  <si>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</si>
  <si>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</si>
  <si>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</si>
  <si>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</si>
  <si>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</si>
  <si>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</si>
  <si>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</si>
  <si>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</si>
  <si>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</si>
  <si>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</si>
  <si>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</si>
  <si>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</si>
  <si>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</si>
  <si>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</si>
  <si>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</si>
  <si>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</si>
  <si>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</si>
  <si>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</si>
  <si>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</si>
  <si>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</si>
  <si>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</si>
  <si>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</si>
  <si>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</si>
  <si>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</si>
  <si>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</si>
  <si>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</si>
  <si>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</si>
  <si>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</si>
  <si>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</si>
  <si>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</si>
  <si>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</si>
  <si>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</si>
  <si>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</si>
  <si>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</si>
  <si>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</si>
  <si>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</si>
  <si>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</si>
  <si>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</si>
  <si>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</si>
  <si>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</si>
  <si>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</si>
  <si>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</si>
  <si>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</si>
  <si>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</si>
  <si>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</si>
  <si>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</si>
  <si>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</si>
  <si>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</si>
  <si>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</si>
  <si>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</si>
  <si>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</si>
  <si>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</si>
  <si>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</si>
  <si>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</si>
  <si>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</si>
  <si>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</si>
  <si>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</si>
  <si>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</si>
  <si>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</si>
  <si>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</si>
  <si>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</si>
  <si>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</si>
  <si>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</si>
  <si>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</si>
  <si>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</si>
  <si>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</si>
  <si>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</si>
  <si>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</si>
  <si>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</si>
  <si>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</si>
  <si>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</si>
  <si>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</si>
  <si>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</si>
  <si>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</si>
  <si>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</si>
  <si>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</si>
  <si>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</si>
  <si>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</si>
  <si>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</si>
  <si>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</si>
  <si>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</si>
  <si>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</si>
  <si>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</si>
  <si>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</si>
  <si>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</si>
  <si>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</si>
  <si>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</si>
  <si>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</si>
  <si>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</si>
  <si>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</si>
  <si>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</si>
  <si>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</si>
  <si>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</si>
  <si>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</si>
  <si>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</si>
  <si>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</si>
  <si>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</si>
  <si>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</si>
  <si>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</si>
  <si>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</si>
  <si>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</si>
  <si>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</si>
  <si>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</si>
  <si>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</si>
  <si>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</si>
  <si>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</si>
  <si>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</si>
  <si>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</si>
  <si>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</si>
  <si>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</si>
  <si>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</si>
  <si>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</si>
  <si>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</si>
  <si>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</si>
  <si>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</si>
  <si>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</si>
  <si>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</si>
  <si>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</si>
  <si>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</si>
  <si>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</si>
  <si>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</si>
  <si>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</si>
  <si>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</si>
  <si>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</si>
  <si>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</si>
  <si>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</si>
  <si>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</si>
  <si>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</si>
  <si>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</si>
  <si>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</si>
  <si>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</si>
  <si>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</si>
  <si>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</si>
  <si>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</si>
  <si>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</si>
  <si>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</si>
  <si>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</si>
  <si>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</si>
  <si>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</si>
  <si>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</si>
  <si>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</si>
  <si>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</si>
  <si>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</si>
  <si>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</si>
  <si>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</si>
  <si>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</si>
  <si>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</si>
  <si>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</si>
  <si>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</si>
  <si>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</si>
  <si>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</si>
  <si>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</si>
  <si>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</si>
  <si>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</si>
  <si>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</si>
  <si>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</si>
  <si>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</si>
  <si>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</si>
  <si>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</si>
  <si>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</si>
  <si>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</si>
  <si>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</si>
  <si>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</si>
  <si>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</si>
  <si>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</si>
  <si>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</si>
  <si>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</si>
  <si>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</si>
  <si>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</si>
  <si>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</si>
  <si>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</si>
  <si>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</si>
  <si>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</si>
  <si>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</si>
  <si>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</si>
  <si>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</si>
  <si>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</si>
  <si>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</si>
  <si>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</si>
  <si>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</si>
  <si>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</si>
  <si>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</si>
  <si>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</si>
  <si>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</si>
  <si>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</si>
  <si>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</si>
  <si>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</si>
  <si>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</si>
  <si>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</si>
  <si>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</si>
  <si>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</si>
  <si>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</si>
  <si>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</si>
  <si>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</si>
  <si>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</si>
  <si>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</si>
  <si>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</si>
  <si>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</si>
  <si>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</si>
  <si>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</si>
  <si>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</si>
  <si>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</si>
  <si>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</si>
  <si>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</si>
  <si>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</si>
  <si>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</si>
  <si>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</si>
  <si>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</si>
  <si>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</si>
  <si>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</si>
  <si>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</si>
  <si>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</si>
  <si>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</si>
  <si>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</si>
  <si>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</si>
  <si>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</si>
  <si>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</si>
  <si>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</si>
  <si>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</si>
  <si>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</si>
  <si>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</si>
  <si>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</si>
  <si>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</si>
  <si>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</si>
  <si>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</si>
  <si>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</si>
  <si>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</si>
  <si>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</si>
  <si>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</si>
  <si>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</si>
  <si>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</si>
  <si>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</si>
  <si>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</si>
  <si>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</si>
  <si>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</si>
  <si>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</si>
  <si>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</si>
  <si>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</si>
  <si>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</si>
  <si>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</si>
  <si>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</si>
  <si>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</si>
  <si>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</si>
  <si>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</si>
  <si>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</si>
  <si>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</si>
  <si>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</si>
  <si>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</si>
  <si>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</si>
  <si>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</si>
  <si>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</si>
  <si>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</si>
  <si>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</si>
  <si>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</si>
  <si>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</si>
  <si>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</si>
  <si>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</si>
  <si>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</si>
  <si>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</si>
  <si>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</si>
  <si>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</si>
  <si>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</si>
  <si>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</si>
  <si>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</si>
  <si>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</si>
  <si>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</si>
  <si>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</si>
  <si>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</si>
  <si>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</si>
  <si>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</si>
  <si>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</si>
  <si>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</si>
  <si>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</si>
  <si>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</si>
  <si>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</si>
  <si>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</si>
  <si>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</si>
  <si>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</si>
  <si>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</si>
  <si>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</si>
  <si>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</si>
  <si>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</si>
  <si>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</si>
  <si>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</si>
  <si>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</si>
  <si>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</si>
  <si>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</si>
  <si>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</si>
  <si>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</si>
  <si>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</si>
  <si>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</si>
  <si>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</si>
  <si>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</si>
  <si>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</si>
  <si>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</si>
  <si>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</si>
  <si>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</si>
  <si>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</si>
  <si>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</si>
  <si>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</si>
  <si>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</si>
  <si>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</si>
  <si>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</si>
  <si>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</si>
  <si>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</si>
  <si>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</si>
  <si>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</si>
  <si>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</si>
  <si>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</si>
  <si>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</si>
  <si>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</si>
  <si>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</si>
  <si>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</si>
  <si>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</si>
  <si>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</si>
  <si>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</si>
  <si>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</si>
  <si>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</si>
  <si>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</si>
  <si>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</si>
  <si>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</si>
  <si>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</si>
  <si>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</si>
  <si>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</si>
  <si>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</si>
  <si>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</si>
  <si>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</si>
  <si>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</si>
  <si>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</si>
  <si>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</si>
  <si>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</si>
  <si>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</si>
  <si>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</si>
  <si>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</si>
  <si>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</si>
  <si>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</si>
  <si>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</si>
  <si>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</si>
  <si>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</si>
  <si>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</si>
  <si>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</si>
  <si>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</si>
  <si>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</si>
  <si>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</si>
  <si>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</si>
  <si>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</si>
  <si>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</si>
  <si>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</si>
  <si>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</si>
  <si>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</si>
  <si>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</si>
  <si>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</si>
  <si>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</si>
  <si>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</si>
  <si>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</si>
  <si>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</si>
  <si>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</si>
  <si>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</si>
  <si>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</si>
  <si>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</si>
  <si>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</si>
  <si>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</si>
  <si>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</si>
  <si>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</si>
  <si>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</si>
  <si>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</si>
  <si>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</si>
  <si>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</si>
  <si>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</si>
  <si>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</si>
  <si>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</si>
  <si>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</si>
  <si>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</si>
  <si>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</si>
  <si>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</si>
  <si>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</si>
  <si>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</si>
  <si>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</si>
  <si>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</si>
  <si>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</si>
  <si>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</si>
  <si>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</si>
  <si>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</si>
  <si>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</si>
  <si>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</si>
  <si>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</si>
  <si>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</si>
  <si>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</si>
  <si>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</si>
  <si>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</si>
  <si>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</si>
  <si>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</si>
  <si>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</si>
  <si>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</si>
  <si>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</si>
  <si>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</si>
  <si>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</si>
  <si>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</si>
  <si>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</si>
  <si>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</si>
  <si>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</si>
  <si>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</si>
  <si>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</si>
  <si>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</si>
  <si>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</si>
  <si>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</si>
  <si>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</si>
  <si>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</si>
  <si>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</si>
  <si>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</si>
  <si>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</si>
  <si>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</si>
  <si>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</si>
  <si>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</si>
  <si>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</si>
  <si>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</si>
  <si>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</si>
  <si>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</si>
  <si>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</si>
  <si>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</si>
  <si>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</si>
  <si>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</si>
  <si>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</si>
  <si>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</si>
  <si>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</si>
  <si>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</si>
  <si>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</si>
  <si>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</si>
  <si>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</si>
  <si>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</si>
  <si>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</si>
  <si>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</si>
  <si>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</si>
  <si>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</si>
  <si>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</si>
  <si>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</si>
  <si>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</si>
  <si>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</si>
  <si>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</si>
  <si>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</si>
  <si>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</si>
  <si>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</si>
  <si>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</si>
  <si>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</si>
  <si>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</si>
  <si>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</si>
  <si>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</si>
  <si>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</si>
  <si>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</si>
  <si>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</si>
  <si>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</si>
  <si>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</si>
  <si>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</si>
  <si>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</si>
  <si>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</si>
  <si>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</si>
  <si>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</si>
  <si>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</si>
  <si>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</si>
  <si>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</si>
  <si>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</si>
  <si>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</si>
  <si>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</si>
  <si>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</si>
  <si>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</si>
  <si>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</si>
  <si>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</si>
  <si>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</si>
  <si>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</si>
  <si>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</si>
  <si>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</si>
  <si>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</si>
  <si>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</si>
  <si>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</si>
  <si>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</si>
  <si>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</si>
  <si>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</si>
  <si>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</si>
  <si>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</si>
  <si>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</si>
  <si>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</si>
  <si>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</si>
  <si>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</si>
  <si>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</si>
  <si>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</si>
  <si>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</si>
  <si>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</si>
  <si>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</si>
  <si>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</si>
  <si>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</si>
  <si>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</si>
  <si>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</si>
  <si>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</si>
  <si>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</si>
  <si>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</si>
  <si>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</si>
  <si>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</si>
  <si>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</si>
  <si>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</si>
  <si>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</si>
  <si>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</si>
  <si>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</si>
  <si>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</si>
  <si>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</si>
  <si>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</si>
  <si>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</si>
  <si>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</si>
  <si>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</si>
  <si>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</si>
  <si>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</si>
  <si>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</si>
  <si>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</si>
  <si>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</si>
  <si>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</si>
  <si>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</si>
  <si>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</si>
  <si>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</si>
  <si>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</si>
  <si>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</si>
  <si>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</si>
  <si>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</si>
  <si>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</si>
  <si>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</si>
  <si>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</si>
  <si>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</si>
  <si>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</si>
  <si>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</si>
  <si>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</si>
  <si>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</si>
  <si>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</si>
  <si>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</si>
  <si>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</si>
  <si>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</si>
  <si>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</si>
  <si>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</si>
  <si>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</si>
  <si>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</si>
  <si>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</si>
  <si>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</si>
  <si>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</si>
  <si>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</si>
  <si>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</si>
  <si>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</si>
  <si>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</si>
  <si>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</si>
  <si>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</si>
  <si>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</si>
  <si>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</si>
  <si>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</si>
  <si>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</si>
  <si>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</si>
  <si>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</si>
  <si>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</si>
  <si>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</si>
  <si>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</si>
  <si>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</si>
  <si>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</si>
  <si>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</si>
  <si>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</si>
  <si>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</si>
  <si>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</si>
  <si>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</si>
  <si>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</si>
  <si>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</si>
  <si>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</si>
  <si>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</si>
  <si>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</si>
  <si>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</si>
  <si>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</si>
  <si>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</si>
  <si>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</si>
  <si>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</si>
  <si>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</si>
  <si>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</si>
  <si>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</si>
  <si>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</si>
  <si>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</si>
  <si>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</si>
  <si>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</si>
  <si>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</si>
  <si>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</si>
  <si>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</si>
  <si>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</si>
  <si>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</si>
  <si>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</si>
  <si>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</si>
  <si>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</si>
  <si>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</si>
  <si>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</si>
  <si>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</si>
  <si>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</si>
  <si>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</si>
  <si>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</si>
  <si>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</si>
  <si>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</si>
  <si>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</si>
  <si>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</si>
  <si>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</si>
  <si>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</si>
  <si>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</si>
  <si>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</si>
  <si>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</si>
  <si>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</si>
  <si>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</si>
  <si>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</si>
  <si>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</si>
  <si>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</si>
  <si>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</si>
  <si>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</si>
  <si>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</si>
  <si>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</si>
  <si>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</si>
  <si>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</si>
  <si>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</si>
  <si>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</si>
  <si>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</si>
  <si>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</si>
  <si>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</si>
  <si>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</si>
  <si>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</si>
  <si>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</si>
  <si>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</si>
  <si>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</si>
  <si>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</si>
  <si>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</si>
  <si>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</si>
  <si>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</si>
  <si>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</si>
  <si>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</si>
  <si>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</si>
  <si>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</si>
  <si>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</si>
  <si>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</si>
  <si>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</si>
  <si>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</si>
  <si>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</si>
  <si>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</si>
  <si>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</si>
  <si>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</si>
  <si>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</si>
  <si>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</si>
  <si>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</si>
  <si>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</si>
  <si>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</si>
  <si>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</si>
  <si>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</si>
  <si>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46240349814</t>
  </si>
  <si>
    <t>02298732</t>
  </si>
  <si>
    <t>040242669</t>
  </si>
  <si>
    <t>LOPAR VRUTAK d.o.o.</t>
  </si>
  <si>
    <t>Lopar 381/a</t>
  </si>
  <si>
    <t>loparvrutak@net.hr</t>
  </si>
  <si>
    <t>051/775-366</t>
  </si>
  <si>
    <t>www.lopar-vrutak.hr</t>
  </si>
  <si>
    <t>Jasna Lazarić</t>
  </si>
  <si>
    <t>jasna@lopar-vrutak.hr</t>
  </si>
  <si>
    <t>Jakuc Zdenko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</si>
</sst>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149193.32</v>
      </c>
      <c r="I3" s="31">
        <f>ABS(ROUND(J3,0)-J3)+ABS(ROUND(K3,0)-K3)</f>
        <v>0</v>
      </c>
      <c r="J3" s="31">
        <f>Bilanca!I10</f>
        <v>2607500</v>
      </c>
      <c r="K3" s="31">
        <f>Bilanca!J10</f>
        <v>2426083</v>
      </c>
    </row>
    <row r="4" spans="1:11" ht="12.75">
      <c r="A4" s="4" t="s">
        <v>1088</v>
      </c>
      <c r="B4" s="29" t="s">
        <v>1888</v>
      </c>
      <c r="D4" s="4" t="s">
        <v>1521</v>
      </c>
      <c r="E4" s="4">
        <v>1</v>
      </c>
      <c r="F4" s="4">
        <f>Bilanca!G11</f>
        <v>3</v>
      </c>
      <c r="G4" s="4">
        <f>IF(Bilanca!H11=0,"",Bilanca!H11)</f>
      </c>
      <c r="H4" s="30">
        <f>J4/100*F4+2*K4/100*F4</f>
        <v>11116.17</v>
      </c>
      <c r="I4" s="31">
        <f>ABS(ROUND(J4,0)-J4)+ABS(ROUND(K4,0)-K4)</f>
        <v>0</v>
      </c>
      <c r="J4" s="31">
        <f>Bilanca!I11</f>
        <v>130675</v>
      </c>
      <c r="K4" s="31">
        <f>Bilanca!J11</f>
        <v>119932</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02298732</v>
      </c>
      <c r="D6" s="4" t="s">
        <v>1521</v>
      </c>
      <c r="E6" s="4">
        <v>1</v>
      </c>
      <c r="F6" s="4">
        <f>Bilanca!G13</f>
        <v>5</v>
      </c>
      <c r="G6" s="4">
        <f>IF(Bilanca!H13=0,"",Bilanca!H13)</f>
      </c>
      <c r="H6" s="30">
        <f aca="true" t="shared" si="0" ref="H6:H45">J6/100*F6+2*K6/100*F6</f>
        <v>2496.55</v>
      </c>
      <c r="I6" s="31">
        <f aca="true" t="shared" si="1" ref="I6:I45">ABS(ROUND(J6,0)-J6)+ABS(ROUND(K6,0)-K6)</f>
        <v>0</v>
      </c>
      <c r="J6" s="31">
        <f>Bilanca!I13</f>
        <v>9515</v>
      </c>
      <c r="K6" s="31">
        <f>Bilanca!J13</f>
        <v>20208</v>
      </c>
    </row>
    <row r="7" spans="1:11" ht="12.75">
      <c r="A7" s="4" t="s">
        <v>2353</v>
      </c>
      <c r="B7" s="29" t="str">
        <f>RefStr!M27</f>
        <v>040242669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46240349814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LOPAR VRUTAK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51281</v>
      </c>
      <c r="D10" s="4" t="s">
        <v>1521</v>
      </c>
      <c r="E10" s="4">
        <v>1</v>
      </c>
      <c r="F10" s="4">
        <f>Bilanca!G17</f>
        <v>9</v>
      </c>
      <c r="G10" s="4">
        <f>IF(Bilanca!H17=0,"",Bilanca!H17)</f>
      </c>
      <c r="H10" s="30">
        <f t="shared" si="0"/>
        <v>28854.72</v>
      </c>
      <c r="I10" s="31">
        <f t="shared" si="1"/>
        <v>0</v>
      </c>
      <c r="J10" s="31">
        <f>Bilanca!I17</f>
        <v>121160</v>
      </c>
      <c r="K10" s="31">
        <f>Bilanca!J17</f>
        <v>99724</v>
      </c>
    </row>
    <row r="11" spans="1:11" ht="12.75">
      <c r="A11" s="4" t="s">
        <v>2356</v>
      </c>
      <c r="B11" s="29" t="str">
        <f>TRIM(RefStr!F31)</f>
        <v>Lopar</v>
      </c>
      <c r="D11" s="4" t="s">
        <v>1521</v>
      </c>
      <c r="E11" s="4">
        <v>1</v>
      </c>
      <c r="F11" s="4">
        <f>Bilanca!G18</f>
        <v>10</v>
      </c>
      <c r="G11" s="4">
        <f>IF(Bilanca!H18=0,"",Bilanca!H18)</f>
      </c>
      <c r="H11" s="30">
        <f t="shared" si="0"/>
        <v>708912.7</v>
      </c>
      <c r="I11" s="31">
        <f t="shared" si="1"/>
        <v>0</v>
      </c>
      <c r="J11" s="31">
        <f>Bilanca!I18</f>
        <v>2476825</v>
      </c>
      <c r="K11" s="31">
        <f>Bilanca!J18</f>
        <v>2306151</v>
      </c>
    </row>
    <row r="12" spans="1:11" ht="12.75">
      <c r="A12" s="4" t="s">
        <v>2357</v>
      </c>
      <c r="B12" s="29" t="str">
        <f>TRIM(RefStr!C33)</f>
        <v>Lopar 381/a</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loparvrutak@net.hr</v>
      </c>
      <c r="D13" s="4" t="s">
        <v>1521</v>
      </c>
      <c r="E13" s="4">
        <v>1</v>
      </c>
      <c r="F13" s="4">
        <f>Bilanca!G20</f>
        <v>12</v>
      </c>
      <c r="G13" s="4">
        <f>IF(Bilanca!H20=0,"",Bilanca!H20)</f>
      </c>
      <c r="H13" s="30">
        <f t="shared" si="0"/>
        <v>45202.8</v>
      </c>
      <c r="I13" s="31">
        <f t="shared" si="1"/>
        <v>0</v>
      </c>
      <c r="J13" s="31">
        <f>Bilanca!I20</f>
        <v>97308</v>
      </c>
      <c r="K13" s="31">
        <f>Bilanca!J20</f>
        <v>139691</v>
      </c>
    </row>
    <row r="14" spans="1:11" ht="12.75">
      <c r="A14" s="4" t="s">
        <v>1194</v>
      </c>
      <c r="B14" s="29" t="str">
        <f>TRIM(RefStr!C37)</f>
        <v>www.lopar-vrutak.hr</v>
      </c>
      <c r="D14" s="4" t="s">
        <v>1521</v>
      </c>
      <c r="E14" s="4">
        <v>1</v>
      </c>
      <c r="F14" s="4">
        <f>Bilanca!G21</f>
        <v>13</v>
      </c>
      <c r="G14" s="4">
        <f>IF(Bilanca!H21=0,"",Bilanca!H21)</f>
      </c>
      <c r="H14" s="30">
        <f t="shared" si="0"/>
        <v>20693.010000000002</v>
      </c>
      <c r="I14" s="31">
        <f t="shared" si="1"/>
        <v>0</v>
      </c>
      <c r="J14" s="31">
        <f>Bilanca!I21</f>
        <v>48475</v>
      </c>
      <c r="K14" s="31">
        <f>Bilanca!J21</f>
        <v>55351</v>
      </c>
    </row>
    <row r="15" spans="1:11" ht="12.75">
      <c r="A15" s="4" t="s">
        <v>2360</v>
      </c>
      <c r="B15" s="29" t="str">
        <f>TEXT(RefStr!J39,"00")</f>
        <v>08</v>
      </c>
      <c r="D15" s="4" t="s">
        <v>1521</v>
      </c>
      <c r="E15" s="4">
        <v>1</v>
      </c>
      <c r="F15" s="4">
        <f>Bilanca!G22</f>
        <v>14</v>
      </c>
      <c r="G15" s="4">
        <f>IF(Bilanca!H22=0,"",Bilanca!H22)</f>
      </c>
      <c r="H15" s="30">
        <f t="shared" si="0"/>
        <v>477970.5</v>
      </c>
      <c r="I15" s="31">
        <f t="shared" si="1"/>
        <v>0</v>
      </c>
      <c r="J15" s="31">
        <f>Bilanca!I22</f>
        <v>1318527</v>
      </c>
      <c r="K15" s="31">
        <f>Bilanca!J22</f>
        <v>1047774</v>
      </c>
    </row>
    <row r="16" spans="1:11" ht="12.75">
      <c r="A16" s="4" t="s">
        <v>2359</v>
      </c>
      <c r="B16" s="29" t="str">
        <f>TEXT(RefStr!C39,"000")</f>
        <v>624</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529846.99</v>
      </c>
      <c r="I18" s="31">
        <f t="shared" si="1"/>
        <v>0</v>
      </c>
      <c r="J18" s="31">
        <f>Bilanca!I25</f>
        <v>1011661</v>
      </c>
      <c r="K18" s="31">
        <f>Bilanca!J25</f>
        <v>1052543</v>
      </c>
    </row>
    <row r="19" spans="1:11" ht="12.75">
      <c r="A19" s="4" t="s">
        <v>1196</v>
      </c>
      <c r="B19" s="29" t="str">
        <f>IF(RefStr!I21&lt;&gt;"",RefStr!I21,"")</f>
        <v>NE</v>
      </c>
      <c r="D19" s="4" t="s">
        <v>1521</v>
      </c>
      <c r="E19" s="4">
        <v>1</v>
      </c>
      <c r="F19" s="4">
        <f>Bilanca!G26</f>
        <v>18</v>
      </c>
      <c r="G19" s="4">
        <f>IF(Bilanca!H26=0,"",Bilanca!H26)</f>
      </c>
      <c r="H19" s="30">
        <f t="shared" si="0"/>
        <v>4038.8399999999997</v>
      </c>
      <c r="I19" s="31">
        <f t="shared" si="1"/>
        <v>0</v>
      </c>
      <c r="J19" s="31">
        <f>Bilanca!I26</f>
        <v>854</v>
      </c>
      <c r="K19" s="31">
        <f>Bilanca!J26</f>
        <v>10792</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43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38</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28</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31</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2864314.67</v>
      </c>
      <c r="I38" s="31">
        <f t="shared" si="1"/>
        <v>0</v>
      </c>
      <c r="J38" s="31">
        <f>Bilanca!I45</f>
        <v>2876291</v>
      </c>
      <c r="K38" s="31">
        <f>Bilanca!J45</f>
        <v>2432550</v>
      </c>
    </row>
    <row r="39" spans="1:11" ht="12.75">
      <c r="A39" s="4" t="s">
        <v>1216</v>
      </c>
      <c r="B39" s="29" t="str">
        <f>RefStr!C68</f>
        <v>Jasna Lazarić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051/775-366</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jasna@lopar-vrutak.hr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Jakuc Zdenko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1335957.2999999998</v>
      </c>
      <c r="I47" s="31">
        <f t="shared" si="3"/>
        <v>0</v>
      </c>
      <c r="J47" s="31">
        <f>Bilanca!I54</f>
        <v>1005513</v>
      </c>
      <c r="K47" s="31">
        <f>Bilanca!J54</f>
        <v>949371</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1113904.75</v>
      </c>
      <c r="I50" s="31">
        <f t="shared" si="3"/>
        <v>0</v>
      </c>
      <c r="J50" s="31">
        <f>Bilanca!I57</f>
        <v>784653</v>
      </c>
      <c r="K50" s="31">
        <f>Bilanca!J57</f>
        <v>744311</v>
      </c>
    </row>
    <row r="51" spans="1:11" ht="12.75">
      <c r="A51" s="4" t="s">
        <v>288</v>
      </c>
      <c r="B51" s="29" t="str">
        <f>RefStr!I60</f>
        <v>NE</v>
      </c>
      <c r="D51" s="4" t="s">
        <v>1521</v>
      </c>
      <c r="E51" s="4">
        <v>1</v>
      </c>
      <c r="F51" s="4">
        <f>Bilanca!G58</f>
        <v>50</v>
      </c>
      <c r="G51" s="4">
        <f>IF(Bilanca!H58=0,"",Bilanca!H58)</f>
      </c>
      <c r="H51" s="30">
        <f t="shared" si="2"/>
        <v>6000</v>
      </c>
      <c r="I51" s="31">
        <f t="shared" si="3"/>
        <v>0</v>
      </c>
      <c r="J51" s="31">
        <f>Bilanca!I58</f>
        <v>600</v>
      </c>
      <c r="K51" s="31">
        <f>Bilanca!J58</f>
        <v>5700</v>
      </c>
    </row>
    <row r="52" spans="1:11" ht="12.75">
      <c r="A52" s="4" t="s">
        <v>1219</v>
      </c>
      <c r="B52" s="29" t="s">
        <v>2619</v>
      </c>
      <c r="D52" s="4" t="s">
        <v>1521</v>
      </c>
      <c r="E52" s="4">
        <v>1</v>
      </c>
      <c r="F52" s="4">
        <f>Bilanca!G59</f>
        <v>51</v>
      </c>
      <c r="G52" s="4">
        <f>IF(Bilanca!H59=0,"",Bilanca!H59)</f>
      </c>
      <c r="H52" s="30">
        <f t="shared" si="2"/>
        <v>269902.70999999996</v>
      </c>
      <c r="I52" s="31">
        <f t="shared" si="3"/>
        <v>0</v>
      </c>
      <c r="J52" s="31">
        <f>Bilanca!I59</f>
        <v>194497</v>
      </c>
      <c r="K52" s="31">
        <f>Bilanca!J59</f>
        <v>167362</v>
      </c>
    </row>
    <row r="53" spans="1:11" ht="12.75">
      <c r="A53" s="4" t="s">
        <v>532</v>
      </c>
      <c r="B53" s="29" t="str">
        <f>RefStr!I56</f>
        <v>DA</v>
      </c>
      <c r="D53" s="4" t="s">
        <v>1521</v>
      </c>
      <c r="E53" s="4">
        <v>1</v>
      </c>
      <c r="F53" s="4">
        <f>Bilanca!G60</f>
        <v>52</v>
      </c>
      <c r="G53" s="4">
        <f>IF(Bilanca!H60=0,"",Bilanca!H60)</f>
      </c>
      <c r="H53" s="30">
        <f t="shared" si="2"/>
        <v>46674.68</v>
      </c>
      <c r="I53" s="31">
        <f t="shared" si="3"/>
        <v>0</v>
      </c>
      <c r="J53" s="31">
        <f>Bilanca!I60</f>
        <v>25763</v>
      </c>
      <c r="K53" s="31">
        <f>Bilanca!J60</f>
        <v>31998</v>
      </c>
    </row>
    <row r="54" spans="1:11" ht="12.75">
      <c r="A54" s="4" t="s">
        <v>533</v>
      </c>
      <c r="B54" s="29" t="str">
        <f>RefStr!I62</f>
        <v>NE</v>
      </c>
      <c r="D54" s="4" t="s">
        <v>1521</v>
      </c>
      <c r="E54" s="4">
        <v>1</v>
      </c>
      <c r="F54" s="4">
        <f>Bilanca!G61</f>
        <v>53</v>
      </c>
      <c r="G54" s="4">
        <f>IF(Bilanca!H61=0,"",Bilanca!H61)</f>
      </c>
      <c r="H54" s="30">
        <f t="shared" si="2"/>
        <v>763.2</v>
      </c>
      <c r="I54" s="31">
        <f t="shared" si="3"/>
        <v>0</v>
      </c>
      <c r="J54" s="31">
        <f>Bilanca!I61</f>
        <v>0</v>
      </c>
      <c r="K54" s="31">
        <f>Bilanca!J61</f>
        <v>720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873327877.97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878.4</v>
      </c>
      <c r="I62" s="31">
        <f t="shared" si="3"/>
        <v>0</v>
      </c>
      <c r="J62" s="31">
        <f>Bilanca!I69</f>
        <v>0</v>
      </c>
      <c r="K62" s="31">
        <f>Bilanca!J69</f>
        <v>720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3046488.48</v>
      </c>
      <c r="I64" s="31">
        <f t="shared" si="3"/>
        <v>0</v>
      </c>
      <c r="J64" s="31">
        <f>Bilanca!I71</f>
        <v>1870778</v>
      </c>
      <c r="K64" s="31">
        <f>Bilanca!J71</f>
        <v>1482459</v>
      </c>
    </row>
    <row r="65" spans="1:11" ht="12.75">
      <c r="A65" s="4" t="s">
        <v>687</v>
      </c>
      <c r="B65" s="29" t="str">
        <f>RefStr!N19</f>
        <v>HSFI</v>
      </c>
      <c r="D65" s="4" t="s">
        <v>1521</v>
      </c>
      <c r="E65" s="4">
        <v>1</v>
      </c>
      <c r="F65" s="4">
        <f>Bilanca!G72</f>
        <v>64</v>
      </c>
      <c r="G65" s="4">
        <f>IF(Bilanca!H72=0,"",Bilanca!H72)</f>
      </c>
      <c r="H65" s="30">
        <f t="shared" si="2"/>
        <v>146653.44</v>
      </c>
      <c r="I65" s="31">
        <f t="shared" si="3"/>
        <v>0</v>
      </c>
      <c r="J65" s="31">
        <f>Bilanca!I72</f>
        <v>82000</v>
      </c>
      <c r="K65" s="31">
        <f>Bilanca!J72</f>
        <v>73573</v>
      </c>
    </row>
    <row r="66" spans="1:11" ht="12.75">
      <c r="A66" s="4" t="s">
        <v>688</v>
      </c>
      <c r="B66" s="29">
        <f>RefStr!C23</f>
        <v>1</v>
      </c>
      <c r="D66" s="4" t="s">
        <v>1521</v>
      </c>
      <c r="E66" s="4">
        <v>1</v>
      </c>
      <c r="F66" s="4">
        <f>Bilanca!G73</f>
        <v>65</v>
      </c>
      <c r="G66" s="4">
        <f>IF(Bilanca!H73=0,"",Bilanca!H73)</f>
      </c>
      <c r="H66" s="30">
        <f t="shared" si="2"/>
        <v>10029631.95</v>
      </c>
      <c r="I66" s="31">
        <f t="shared" si="3"/>
        <v>0</v>
      </c>
      <c r="J66" s="31">
        <f>Bilanca!I73</f>
        <v>5565791</v>
      </c>
      <c r="K66" s="31">
        <f>Bilanca!J73</f>
        <v>4932206</v>
      </c>
    </row>
    <row r="67" spans="1:11" ht="12.75">
      <c r="A67" s="4" t="s">
        <v>689</v>
      </c>
      <c r="B67" s="29" t="str">
        <f>RefStr!L35</f>
        <v>051/775-366</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6111234.82</v>
      </c>
      <c r="I68" s="31">
        <f t="shared" si="3"/>
        <v>0</v>
      </c>
      <c r="J68" s="31">
        <f>Bilanca!I76</f>
        <v>3017484</v>
      </c>
      <c r="K68" s="31">
        <f>Bilanca!J76</f>
        <v>3051881</v>
      </c>
    </row>
    <row r="69" spans="1:11" ht="12.75">
      <c r="A69" s="4" t="s">
        <v>691</v>
      </c>
      <c r="B69" s="29">
        <f>RefStr!M46</f>
        <v>0</v>
      </c>
      <c r="D69" s="4" t="s">
        <v>1521</v>
      </c>
      <c r="E69" s="4">
        <v>1</v>
      </c>
      <c r="F69" s="4">
        <f>Bilanca!G77</f>
        <v>68</v>
      </c>
      <c r="G69" s="4">
        <f>IF(Bilanca!H77=0,"",Bilanca!H77)</f>
      </c>
      <c r="H69" s="30">
        <f t="shared" si="2"/>
        <v>5202000</v>
      </c>
      <c r="I69" s="31">
        <f t="shared" si="3"/>
        <v>0</v>
      </c>
      <c r="J69" s="31">
        <f>Bilanca!I77</f>
        <v>2550000</v>
      </c>
      <c r="K69" s="31">
        <f>Bilanca!J77</f>
        <v>2550000</v>
      </c>
    </row>
    <row r="70" spans="1:11" ht="12.75">
      <c r="A70" s="4" t="s">
        <v>692</v>
      </c>
      <c r="B70" s="29">
        <f>RefStr!C46</f>
        <v>0</v>
      </c>
      <c r="D70" s="4" t="s">
        <v>1521</v>
      </c>
      <c r="E70" s="4">
        <v>1</v>
      </c>
      <c r="F70" s="4">
        <f>Bilanca!G78</f>
        <v>69</v>
      </c>
      <c r="G70" s="4">
        <f>IF(Bilanca!H78=0,"",Bilanca!H78)</f>
      </c>
      <c r="H70" s="30">
        <f t="shared" si="2"/>
        <v>192.51</v>
      </c>
      <c r="I70" s="31">
        <f t="shared" si="3"/>
        <v>0</v>
      </c>
      <c r="J70" s="31">
        <f>Bilanca!I78</f>
        <v>93</v>
      </c>
      <c r="K70" s="31">
        <f>Bilanca!J78</f>
        <v>93</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972472.23</v>
      </c>
      <c r="I82" s="31">
        <f t="shared" si="3"/>
        <v>0</v>
      </c>
      <c r="J82" s="31">
        <f>Bilanca!I90</f>
        <v>265799</v>
      </c>
      <c r="K82" s="31">
        <f>Bilanca!J90</f>
        <v>467392</v>
      </c>
    </row>
    <row r="83" spans="4:11" ht="12.75">
      <c r="D83" s="4" t="s">
        <v>1521</v>
      </c>
      <c r="E83" s="4">
        <v>1</v>
      </c>
      <c r="F83" s="4">
        <f>Bilanca!G91</f>
        <v>82</v>
      </c>
      <c r="G83" s="4">
        <f>IF(Bilanca!H91=0,"",Bilanca!H91)</f>
      </c>
      <c r="H83" s="30">
        <f t="shared" si="2"/>
        <v>984478.06</v>
      </c>
      <c r="I83" s="31">
        <f t="shared" si="3"/>
        <v>0</v>
      </c>
      <c r="J83" s="31">
        <f>Bilanca!I91</f>
        <v>265799</v>
      </c>
      <c r="K83" s="31">
        <f>Bilanca!J91</f>
        <v>467392</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227122.56</v>
      </c>
      <c r="I85" s="31">
        <f>ABS(ROUND(J85,0)-J85)+ABS(ROUND(K85,0)-K85)</f>
        <v>0</v>
      </c>
      <c r="J85" s="31">
        <f>Bilanca!I93</f>
        <v>201592</v>
      </c>
      <c r="K85" s="31">
        <f>Bilanca!J93</f>
        <v>34396</v>
      </c>
    </row>
    <row r="86" spans="4:11" ht="12.75">
      <c r="D86" s="4" t="s">
        <v>1521</v>
      </c>
      <c r="E86" s="4">
        <v>1</v>
      </c>
      <c r="F86" s="4">
        <f>Bilanca!G94</f>
        <v>85</v>
      </c>
      <c r="G86" s="4">
        <f>IF(Bilanca!H94=0,"",Bilanca!H94)</f>
      </c>
      <c r="H86" s="30">
        <f>J86/100*F86+2*K86/100*F86</f>
        <v>229826.40000000002</v>
      </c>
      <c r="I86" s="31">
        <f>ABS(ROUND(J86,0)-J86)+ABS(ROUND(K86,0)-K86)</f>
        <v>0</v>
      </c>
      <c r="J86" s="31">
        <f>Bilanca!I94</f>
        <v>201592</v>
      </c>
      <c r="K86" s="31">
        <f>Bilanca!J94</f>
        <v>34396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445275.45</v>
      </c>
      <c r="I96" s="31">
        <f t="shared" si="5"/>
        <v>0</v>
      </c>
      <c r="J96" s="31">
        <f>Bilanca!I104</f>
        <v>345057</v>
      </c>
      <c r="K96" s="31">
        <f>Bilanca!J104</f>
        <v>61827</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431988.11</v>
      </c>
      <c r="I102" s="31">
        <f t="shared" si="5"/>
        <v>0</v>
      </c>
      <c r="J102" s="31">
        <f>Bilanca!I110</f>
        <v>304057</v>
      </c>
      <c r="K102" s="31">
        <f>Bilanca!J110</f>
        <v>61827</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43050</v>
      </c>
      <c r="I106" s="31">
        <f t="shared" si="5"/>
        <v>0</v>
      </c>
      <c r="J106" s="31">
        <f>Bilanca!I114</f>
        <v>41000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5415429.43</v>
      </c>
      <c r="I108" s="31">
        <f t="shared" si="5"/>
        <v>0</v>
      </c>
      <c r="J108" s="31">
        <f>Bilanca!I116</f>
        <v>1862693</v>
      </c>
      <c r="K108" s="31">
        <f>Bilanca!J116</f>
        <v>1599228</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1026731.56</v>
      </c>
      <c r="I114" s="31">
        <f t="shared" si="5"/>
        <v>0</v>
      </c>
      <c r="J114" s="31">
        <f>Bilanca!I122</f>
        <v>406502</v>
      </c>
      <c r="K114" s="31">
        <f>Bilanca!J122</f>
        <v>251055</v>
      </c>
    </row>
    <row r="115" spans="4:11" ht="12.75">
      <c r="D115" s="4" t="s">
        <v>1521</v>
      </c>
      <c r="E115" s="4">
        <v>1</v>
      </c>
      <c r="F115" s="4">
        <f>Bilanca!G123</f>
        <v>114</v>
      </c>
      <c r="G115" s="4">
        <f>IF(Bilanca!H123=0,"",Bilanca!H123)</f>
      </c>
      <c r="H115" s="30">
        <f t="shared" si="4"/>
        <v>4218</v>
      </c>
      <c r="I115" s="31">
        <f t="shared" si="5"/>
        <v>0</v>
      </c>
      <c r="J115" s="31">
        <f>Bilanca!I123</f>
        <v>900</v>
      </c>
      <c r="K115" s="31">
        <f>Bilanca!J123</f>
        <v>1400</v>
      </c>
    </row>
    <row r="116" spans="4:11" ht="12.75">
      <c r="D116" s="4" t="s">
        <v>1521</v>
      </c>
      <c r="E116" s="4">
        <v>1</v>
      </c>
      <c r="F116" s="4">
        <f>Bilanca!G124</f>
        <v>115</v>
      </c>
      <c r="G116" s="4">
        <f>IF(Bilanca!H124=0,"",Bilanca!H124)</f>
      </c>
      <c r="H116" s="30">
        <f t="shared" si="4"/>
        <v>1010239.35</v>
      </c>
      <c r="I116" s="31">
        <f t="shared" si="5"/>
        <v>0</v>
      </c>
      <c r="J116" s="31">
        <f>Bilanca!I124</f>
        <v>390457</v>
      </c>
      <c r="K116" s="31">
        <f>Bilanca!J124</f>
        <v>244006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524637.36</v>
      </c>
      <c r="I118" s="31">
        <f t="shared" si="5"/>
        <v>0</v>
      </c>
      <c r="J118" s="31">
        <f>Bilanca!I126</f>
        <v>135526</v>
      </c>
      <c r="K118" s="31">
        <f>Bilanca!J126</f>
        <v>156441</v>
      </c>
    </row>
    <row r="119" spans="4:11" ht="12.75">
      <c r="D119" s="4" t="s">
        <v>1521</v>
      </c>
      <c r="E119" s="4">
        <v>1</v>
      </c>
      <c r="F119" s="4">
        <f>Bilanca!G127</f>
        <v>118</v>
      </c>
      <c r="G119" s="4">
        <f>IF(Bilanca!H127=0,"",Bilanca!H127)</f>
      </c>
      <c r="H119" s="30">
        <f t="shared" si="4"/>
        <v>279878.3</v>
      </c>
      <c r="I119" s="31">
        <f t="shared" si="5"/>
        <v>0</v>
      </c>
      <c r="J119" s="31">
        <f>Bilanca!I127</f>
        <v>67861</v>
      </c>
      <c r="K119" s="31">
        <f>Bilanca!J127</f>
        <v>84662</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3127577.75</v>
      </c>
      <c r="I122" s="31">
        <f t="shared" si="5"/>
        <v>0</v>
      </c>
      <c r="J122" s="31">
        <f>Bilanca!I130</f>
        <v>861447</v>
      </c>
      <c r="K122" s="31">
        <f>Bilanca!J130</f>
        <v>861664</v>
      </c>
    </row>
    <row r="123" spans="4:11" ht="12.75">
      <c r="D123" s="4" t="s">
        <v>1521</v>
      </c>
      <c r="E123" s="4">
        <v>1</v>
      </c>
      <c r="F123" s="4">
        <f>Bilanca!G131</f>
        <v>122</v>
      </c>
      <c r="G123" s="4">
        <f>IF(Bilanca!H131=0,"",Bilanca!H131)</f>
      </c>
      <c r="H123" s="30">
        <f t="shared" si="4"/>
        <v>950498.34</v>
      </c>
      <c r="I123" s="31">
        <f t="shared" si="5"/>
        <v>0</v>
      </c>
      <c r="J123" s="31">
        <f>Bilanca!I131</f>
        <v>340557</v>
      </c>
      <c r="K123" s="31">
        <f>Bilanca!J131</f>
        <v>219270</v>
      </c>
    </row>
    <row r="124" spans="4:11" ht="12.75">
      <c r="D124" s="4" t="s">
        <v>1521</v>
      </c>
      <c r="E124" s="4">
        <v>1</v>
      </c>
      <c r="F124" s="4">
        <f>Bilanca!G132</f>
        <v>123</v>
      </c>
      <c r="G124" s="4">
        <f>IF(Bilanca!H132=0,"",Bilanca!H132)</f>
      </c>
      <c r="H124" s="30">
        <f t="shared" si="4"/>
        <v>18979149.69</v>
      </c>
      <c r="I124" s="31">
        <f t="shared" si="5"/>
        <v>0</v>
      </c>
      <c r="J124" s="31">
        <f>Bilanca!I132</f>
        <v>5565791</v>
      </c>
      <c r="K124" s="31">
        <f>Bilanca!J132</f>
        <v>4932206</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27481736.25</v>
      </c>
      <c r="I126" s="4">
        <f t="shared" si="5"/>
        <v>0</v>
      </c>
      <c r="J126" s="31">
        <f>RDG!I8</f>
        <v>6942905</v>
      </c>
      <c r="K126" s="31">
        <f>RDG!J8</f>
        <v>7521242</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26222971.430000003</v>
      </c>
      <c r="I128" s="4">
        <f aca="true" t="shared" si="7" ref="I128:I190">ABS(ROUND(J128,0)-J128)+ABS(ROUND(K128,0)-K128)</f>
        <v>0</v>
      </c>
      <c r="J128" s="31">
        <f>RDG!I10</f>
        <v>6367489</v>
      </c>
      <c r="K128" s="31">
        <f>RDG!J10</f>
        <v>7140260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1738594</v>
      </c>
      <c r="I131" s="4">
        <f t="shared" si="7"/>
        <v>0</v>
      </c>
      <c r="J131" s="31">
        <f>RDG!I13</f>
        <v>575416</v>
      </c>
      <c r="K131" s="31">
        <f>RDG!J13</f>
        <v>380982</v>
      </c>
    </row>
    <row r="132" spans="4:11" ht="12.75">
      <c r="D132" s="4" t="s">
        <v>541</v>
      </c>
      <c r="E132" s="4">
        <v>2</v>
      </c>
      <c r="F132" s="4">
        <f>RDG!G14</f>
        <v>131</v>
      </c>
      <c r="G132" s="4">
        <f>IF(RDG!H14=0,"",RDG!H14)</f>
      </c>
      <c r="H132" s="30">
        <f t="shared" si="6"/>
        <v>28300024.32</v>
      </c>
      <c r="I132" s="4">
        <f t="shared" si="7"/>
        <v>0</v>
      </c>
      <c r="J132" s="31">
        <f>RDG!I14</f>
        <v>6699500</v>
      </c>
      <c r="K132" s="31">
        <f>RDG!J14</f>
        <v>7451786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8981462.07</v>
      </c>
      <c r="I134" s="4">
        <f t="shared" si="7"/>
        <v>0</v>
      </c>
      <c r="J134" s="31">
        <f>RDG!I16</f>
        <v>1994439</v>
      </c>
      <c r="K134" s="31">
        <f>RDG!J16</f>
        <v>2379270</v>
      </c>
    </row>
    <row r="135" spans="4:11" ht="12.75">
      <c r="D135" s="4" t="s">
        <v>541</v>
      </c>
      <c r="E135" s="4">
        <v>2</v>
      </c>
      <c r="F135" s="4">
        <f>RDG!G17</f>
        <v>134</v>
      </c>
      <c r="G135" s="4">
        <f>IF(RDG!H17=0,"",RDG!H17)</f>
      </c>
      <c r="H135" s="30">
        <f t="shared" si="6"/>
        <v>2786818.1</v>
      </c>
      <c r="I135" s="4">
        <f t="shared" si="7"/>
        <v>0</v>
      </c>
      <c r="J135" s="31">
        <f>RDG!I17</f>
        <v>763581</v>
      </c>
      <c r="K135" s="31">
        <f>RDG!J17</f>
        <v>658067</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6355639.04</v>
      </c>
      <c r="I137" s="4">
        <f t="shared" si="7"/>
        <v>0</v>
      </c>
      <c r="J137" s="31">
        <f>RDG!I19</f>
        <v>1230858</v>
      </c>
      <c r="K137" s="31">
        <f>RDG!J19</f>
        <v>1721203</v>
      </c>
    </row>
    <row r="138" spans="4:11" ht="12.75">
      <c r="D138" s="4" t="s">
        <v>541</v>
      </c>
      <c r="E138" s="4">
        <v>2</v>
      </c>
      <c r="F138" s="4">
        <f>RDG!G20</f>
        <v>137</v>
      </c>
      <c r="G138" s="4">
        <f>IF(RDG!H20=0,"",RDG!H20)</f>
      </c>
      <c r="H138" s="30">
        <f t="shared" si="6"/>
        <v>13080907.96</v>
      </c>
      <c r="I138" s="4">
        <f t="shared" si="7"/>
        <v>0</v>
      </c>
      <c r="J138" s="31">
        <f>RDG!I20</f>
        <v>2892012</v>
      </c>
      <c r="K138" s="31">
        <f>RDG!J20</f>
        <v>3328048</v>
      </c>
    </row>
    <row r="139" spans="4:11" ht="12.75">
      <c r="D139" s="4" t="s">
        <v>541</v>
      </c>
      <c r="E139" s="4">
        <v>2</v>
      </c>
      <c r="F139" s="4">
        <f>RDG!G21</f>
        <v>138</v>
      </c>
      <c r="G139" s="4">
        <f>IF(RDG!H21=0,"",RDG!H21)</f>
      </c>
      <c r="H139" s="30">
        <f t="shared" si="6"/>
        <v>8559091.2</v>
      </c>
      <c r="I139" s="4">
        <f t="shared" si="7"/>
        <v>0</v>
      </c>
      <c r="J139" s="31">
        <f>RDG!I21</f>
        <v>1862976</v>
      </c>
      <c r="K139" s="31">
        <f>RDG!J21</f>
        <v>2169632</v>
      </c>
    </row>
    <row r="140" spans="4:11" ht="12.75">
      <c r="D140" s="4" t="s">
        <v>541</v>
      </c>
      <c r="E140" s="4">
        <v>2</v>
      </c>
      <c r="F140" s="4">
        <f>RDG!G22</f>
        <v>139</v>
      </c>
      <c r="G140" s="4">
        <f>IF(RDG!H22=0,"",RDG!H22)</f>
      </c>
      <c r="H140" s="30">
        <f t="shared" si="6"/>
        <v>2795488.77</v>
      </c>
      <c r="I140" s="4">
        <f t="shared" si="7"/>
        <v>0</v>
      </c>
      <c r="J140" s="31">
        <f>RDG!I22</f>
        <v>605929</v>
      </c>
      <c r="K140" s="31">
        <f>RDG!J22</f>
        <v>702607</v>
      </c>
    </row>
    <row r="141" spans="4:11" ht="12.75">
      <c r="D141" s="4" t="s">
        <v>541</v>
      </c>
      <c r="E141" s="4">
        <v>2</v>
      </c>
      <c r="F141" s="4">
        <f>RDG!G23</f>
        <v>140</v>
      </c>
      <c r="G141" s="4">
        <f>IF(RDG!H23=0,"",RDG!H23)</f>
      </c>
      <c r="H141" s="30">
        <f t="shared" si="6"/>
        <v>1868615</v>
      </c>
      <c r="I141" s="4">
        <f t="shared" si="7"/>
        <v>0</v>
      </c>
      <c r="J141" s="31">
        <f>RDG!I23</f>
        <v>423107</v>
      </c>
      <c r="K141" s="31">
        <f>RDG!J23</f>
        <v>455809</v>
      </c>
    </row>
    <row r="142" spans="4:11" ht="12.75">
      <c r="D142" s="4" t="s">
        <v>541</v>
      </c>
      <c r="E142" s="4">
        <v>2</v>
      </c>
      <c r="F142" s="4">
        <f>RDG!G24</f>
        <v>141</v>
      </c>
      <c r="G142" s="4">
        <f>IF(RDG!H24=0,"",RDG!H24)</f>
      </c>
      <c r="H142" s="30">
        <f t="shared" si="6"/>
        <v>3664738.05</v>
      </c>
      <c r="I142" s="4">
        <f t="shared" si="7"/>
        <v>0</v>
      </c>
      <c r="J142" s="31">
        <f>RDG!I24</f>
        <v>1017411</v>
      </c>
      <c r="K142" s="31">
        <f>RDG!J24</f>
        <v>790847</v>
      </c>
    </row>
    <row r="143" spans="4:11" ht="12.75">
      <c r="D143" s="4" t="s">
        <v>541</v>
      </c>
      <c r="E143" s="4">
        <v>2</v>
      </c>
      <c r="F143" s="4">
        <f>RDG!G25</f>
        <v>142</v>
      </c>
      <c r="G143" s="4">
        <f>IF(RDG!H25=0,"",RDG!H25)</f>
      </c>
      <c r="H143" s="30">
        <f t="shared" si="6"/>
        <v>2246875.94</v>
      </c>
      <c r="I143" s="4">
        <f t="shared" si="7"/>
        <v>0</v>
      </c>
      <c r="J143" s="31">
        <f>RDG!I25</f>
        <v>485349</v>
      </c>
      <c r="K143" s="31">
        <f>RDG!J25</f>
        <v>548479</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610731.1399999999</v>
      </c>
      <c r="I147" s="4">
        <f t="shared" si="7"/>
        <v>0</v>
      </c>
      <c r="J147" s="31">
        <f>RDG!I29</f>
        <v>135785</v>
      </c>
      <c r="K147" s="31">
        <f>RDG!J29</f>
        <v>141262</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635829.6799999999</v>
      </c>
      <c r="I153" s="4">
        <f t="shared" si="7"/>
        <v>0</v>
      </c>
      <c r="J153" s="31">
        <f>RDG!I35</f>
        <v>135785</v>
      </c>
      <c r="K153" s="31">
        <f>RDG!J35</f>
        <v>141262</v>
      </c>
    </row>
    <row r="154" spans="4:11" ht="12.75">
      <c r="D154" s="4" t="s">
        <v>541</v>
      </c>
      <c r="E154" s="4">
        <v>2</v>
      </c>
      <c r="F154" s="4">
        <f>RDG!G36</f>
        <v>153</v>
      </c>
      <c r="G154" s="4">
        <f>IF(RDG!H36=0,"",RDG!H36)</f>
      </c>
      <c r="H154" s="30">
        <f t="shared" si="6"/>
        <v>1074463.92</v>
      </c>
      <c r="I154" s="4">
        <f t="shared" si="7"/>
        <v>0</v>
      </c>
      <c r="J154" s="31">
        <f>RDG!I36</f>
        <v>174504</v>
      </c>
      <c r="K154" s="31">
        <f>RDG!J36</f>
        <v>263880</v>
      </c>
    </row>
    <row r="155" spans="4:11" ht="12.75">
      <c r="D155" s="4" t="s">
        <v>541</v>
      </c>
      <c r="E155" s="4">
        <v>2</v>
      </c>
      <c r="F155" s="4">
        <f>RDG!G37</f>
        <v>154</v>
      </c>
      <c r="G155" s="4">
        <f>IF(RDG!H37=0,"",RDG!H37)</f>
      </c>
      <c r="H155" s="30">
        <f t="shared" si="6"/>
        <v>120803.76000000001</v>
      </c>
      <c r="I155" s="4">
        <f t="shared" si="7"/>
        <v>0</v>
      </c>
      <c r="J155" s="31">
        <f>RDG!I37</f>
        <v>56250</v>
      </c>
      <c r="K155" s="31">
        <f>RDG!J37</f>
        <v>11097</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102067.56</v>
      </c>
      <c r="I162" s="4">
        <f t="shared" si="7"/>
        <v>0</v>
      </c>
      <c r="J162" s="31">
        <f>RDG!I44</f>
        <v>41210</v>
      </c>
      <c r="K162" s="31">
        <f>RDG!J44</f>
        <v>11093</v>
      </c>
    </row>
    <row r="163" spans="4:11" ht="12.75">
      <c r="D163" s="4" t="s">
        <v>541</v>
      </c>
      <c r="E163" s="4">
        <v>2</v>
      </c>
      <c r="F163" s="4">
        <f>RDG!G45</f>
        <v>162</v>
      </c>
      <c r="G163" s="4">
        <f>IF(RDG!H45=0,"",RDG!H45)</f>
      </c>
      <c r="H163" s="30">
        <f t="shared" si="6"/>
        <v>24372.9</v>
      </c>
      <c r="I163" s="4">
        <f t="shared" si="7"/>
        <v>0</v>
      </c>
      <c r="J163" s="31">
        <f>RDG!I45</f>
        <v>15037</v>
      </c>
      <c r="K163" s="31">
        <f>RDG!J45</f>
        <v>4</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4.92</v>
      </c>
      <c r="I165" s="4">
        <f t="shared" si="7"/>
        <v>0</v>
      </c>
      <c r="J165" s="31">
        <f>RDG!I47</f>
        <v>3</v>
      </c>
      <c r="K165" s="31">
        <f>RDG!J47</f>
        <v>0</v>
      </c>
    </row>
    <row r="166" spans="4:11" ht="12.75">
      <c r="D166" s="4" t="s">
        <v>541</v>
      </c>
      <c r="E166" s="4">
        <v>2</v>
      </c>
      <c r="F166" s="4">
        <f>RDG!G48</f>
        <v>165</v>
      </c>
      <c r="G166" s="4">
        <f>IF(RDG!H48=0,"",RDG!H48)</f>
      </c>
      <c r="H166" s="30">
        <f t="shared" si="6"/>
        <v>188570.25</v>
      </c>
      <c r="I166" s="4">
        <f t="shared" si="7"/>
        <v>0</v>
      </c>
      <c r="J166" s="31">
        <f>RDG!I48</f>
        <v>47843</v>
      </c>
      <c r="K166" s="31">
        <f>RDG!J48</f>
        <v>33221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183558.48</v>
      </c>
      <c r="I169" s="4">
        <f t="shared" si="7"/>
        <v>0</v>
      </c>
      <c r="J169" s="31">
        <f>RDG!I51</f>
        <v>47767</v>
      </c>
      <c r="K169" s="31">
        <f>RDG!J51</f>
        <v>30747</v>
      </c>
    </row>
    <row r="170" spans="4:11" ht="12.75">
      <c r="D170" s="4" t="s">
        <v>541</v>
      </c>
      <c r="E170" s="4">
        <v>2</v>
      </c>
      <c r="F170" s="4">
        <f>RDG!G52</f>
        <v>169</v>
      </c>
      <c r="G170" s="4">
        <f>IF(RDG!H52=0,"",RDG!H52)</f>
      </c>
      <c r="H170" s="30">
        <f t="shared" si="6"/>
        <v>8490.56</v>
      </c>
      <c r="I170" s="4">
        <f t="shared" si="7"/>
        <v>0</v>
      </c>
      <c r="J170" s="31">
        <f>RDG!I52</f>
        <v>76</v>
      </c>
      <c r="K170" s="31">
        <f>RDG!J52</f>
        <v>2474</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39052984.41</v>
      </c>
      <c r="I178" s="4">
        <f t="shared" si="7"/>
        <v>0</v>
      </c>
      <c r="J178" s="31">
        <f>RDG!I60</f>
        <v>6999155</v>
      </c>
      <c r="K178" s="31">
        <f>RDG!J60</f>
        <v>7532339</v>
      </c>
    </row>
    <row r="179" spans="4:11" ht="12.75">
      <c r="D179" s="4" t="s">
        <v>541</v>
      </c>
      <c r="E179" s="4">
        <v>2</v>
      </c>
      <c r="F179" s="4">
        <f>RDG!G61</f>
        <v>178</v>
      </c>
      <c r="G179" s="4">
        <f>IF(RDG!H61=0,"",RDG!H61)</f>
      </c>
      <c r="H179" s="30">
        <f t="shared" si="6"/>
        <v>38656895.46</v>
      </c>
      <c r="I179" s="4">
        <f t="shared" si="7"/>
        <v>0</v>
      </c>
      <c r="J179" s="31">
        <f>RDG!I61</f>
        <v>6747343</v>
      </c>
      <c r="K179" s="31">
        <f>RDG!J61</f>
        <v>7485007</v>
      </c>
    </row>
    <row r="180" spans="4:11" ht="12.75">
      <c r="D180" s="4" t="s">
        <v>541</v>
      </c>
      <c r="E180" s="4">
        <v>2</v>
      </c>
      <c r="F180" s="4">
        <f>RDG!G62</f>
        <v>179</v>
      </c>
      <c r="G180" s="4">
        <f>IF(RDG!H62=0,"",RDG!H62)</f>
      </c>
      <c r="H180" s="30">
        <f t="shared" si="6"/>
        <v>620192.04</v>
      </c>
      <c r="I180" s="4">
        <f t="shared" si="7"/>
        <v>0</v>
      </c>
      <c r="J180" s="31">
        <f>RDG!I62</f>
        <v>251812</v>
      </c>
      <c r="K180" s="31">
        <f>RDG!J62</f>
        <v>47332</v>
      </c>
    </row>
    <row r="181" spans="4:11" ht="12.75">
      <c r="D181" s="4" t="s">
        <v>541</v>
      </c>
      <c r="E181" s="4">
        <v>2</v>
      </c>
      <c r="F181" s="4">
        <f>RDG!G63</f>
        <v>180</v>
      </c>
      <c r="G181" s="4">
        <f>IF(RDG!H63=0,"",RDG!H63)</f>
      </c>
      <c r="H181" s="30">
        <f t="shared" si="6"/>
        <v>623656.8</v>
      </c>
      <c r="I181" s="4">
        <f t="shared" si="7"/>
        <v>0</v>
      </c>
      <c r="J181" s="31">
        <f>RDG!I63</f>
        <v>251812</v>
      </c>
      <c r="K181" s="31">
        <f>RDG!J63</f>
        <v>47332</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138487.44</v>
      </c>
      <c r="I183" s="4">
        <f t="shared" si="7"/>
        <v>0</v>
      </c>
      <c r="J183" s="31">
        <f>RDG!I65</f>
        <v>50220</v>
      </c>
      <c r="K183" s="31">
        <f>RDG!J65</f>
        <v>12936</v>
      </c>
    </row>
    <row r="184" spans="4:11" ht="12.75">
      <c r="D184" s="4" t="s">
        <v>541</v>
      </c>
      <c r="E184" s="4">
        <v>2</v>
      </c>
      <c r="F184" s="4">
        <f>RDG!G66</f>
        <v>183</v>
      </c>
      <c r="G184" s="4">
        <f>IF(RDG!H66=0,"",RDG!H66)</f>
      </c>
      <c r="H184" s="30">
        <f t="shared" si="6"/>
        <v>494802.72</v>
      </c>
      <c r="I184" s="4">
        <f t="shared" si="7"/>
        <v>0</v>
      </c>
      <c r="J184" s="31">
        <f>RDG!I66</f>
        <v>201592</v>
      </c>
      <c r="K184" s="31">
        <f>RDG!J66</f>
        <v>34396</v>
      </c>
    </row>
    <row r="185" spans="4:11" ht="12.75">
      <c r="D185" s="4" t="s">
        <v>541</v>
      </c>
      <c r="E185" s="4">
        <v>2</v>
      </c>
      <c r="F185" s="4">
        <f>RDG!G67</f>
        <v>184</v>
      </c>
      <c r="G185" s="4">
        <f>IF(RDG!H67=0,"",RDG!H67)</f>
      </c>
      <c r="H185" s="30">
        <f t="shared" si="6"/>
        <v>497506.56000000006</v>
      </c>
      <c r="I185" s="4">
        <f t="shared" si="7"/>
        <v>0</v>
      </c>
      <c r="J185" s="31">
        <f>RDG!I67</f>
        <v>201592</v>
      </c>
      <c r="K185" s="31">
        <f>RDG!J67</f>
        <v>34396</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43262960.96</v>
      </c>
      <c r="I233" s="4">
        <f t="shared" si="11"/>
        <v>0</v>
      </c>
      <c r="J233" s="31">
        <f>Dodatni!I26</f>
        <v>5655366</v>
      </c>
      <c r="K233" s="31">
        <f>Dodatni!J26</f>
        <v>6496231</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2832492.78</v>
      </c>
      <c r="I235" s="4">
        <f t="shared" si="11"/>
        <v>0</v>
      </c>
      <c r="J235" s="31">
        <f>Dodatni!I28</f>
        <v>377069</v>
      </c>
      <c r="K235" s="31">
        <f>Dodatni!J28</f>
        <v>416699</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4522034.4</v>
      </c>
      <c r="I241" s="4">
        <f t="shared" si="11"/>
        <v>0</v>
      </c>
      <c r="J241" s="31">
        <f>Dodatni!I34</f>
        <v>660123</v>
      </c>
      <c r="K241" s="31">
        <f>Dodatni!J34</f>
        <v>612029</v>
      </c>
    </row>
    <row r="242" spans="4:11" ht="12.75">
      <c r="D242" s="4" t="s">
        <v>1522</v>
      </c>
      <c r="E242" s="4">
        <v>3</v>
      </c>
      <c r="F242" s="4">
        <f>Dodatni!H35</f>
        <v>241</v>
      </c>
      <c r="H242" s="30">
        <f t="shared" si="10"/>
        <v>279560</v>
      </c>
      <c r="I242" s="4">
        <f t="shared" si="11"/>
        <v>0</v>
      </c>
      <c r="J242" s="31">
        <f>Dodatni!I35</f>
        <v>52000</v>
      </c>
      <c r="K242" s="31">
        <f>Dodatni!J35</f>
        <v>32000</v>
      </c>
    </row>
    <row r="243" spans="4:11" ht="12.75">
      <c r="D243" s="4" t="s">
        <v>1522</v>
      </c>
      <c r="E243" s="4">
        <v>3</v>
      </c>
      <c r="F243" s="4">
        <f>Dodatni!H37</f>
        <v>242</v>
      </c>
      <c r="H243" s="30">
        <f t="shared" si="10"/>
        <v>49968181.78</v>
      </c>
      <c r="I243" s="4">
        <f t="shared" si="11"/>
        <v>0</v>
      </c>
      <c r="J243" s="31">
        <f>Dodatni!I37</f>
        <v>6367489</v>
      </c>
      <c r="K243" s="31">
        <f>Dodatni!J37</f>
        <v>7140260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287680</v>
      </c>
      <c r="I249" s="4">
        <f t="shared" si="11"/>
        <v>0</v>
      </c>
      <c r="J249" s="31">
        <f>Dodatni!I45</f>
        <v>52000</v>
      </c>
      <c r="K249" s="31">
        <f>Dodatni!J45</f>
        <v>32000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1008890</v>
      </c>
      <c r="I251" s="4">
        <f t="shared" si="11"/>
        <v>0</v>
      </c>
      <c r="J251" s="31">
        <f>Dodatni!I47</f>
        <v>131986</v>
      </c>
      <c r="K251" s="31">
        <f>Dodatni!J47</f>
        <v>135785</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108087.84</v>
      </c>
      <c r="I253" s="4">
        <f t="shared" si="11"/>
        <v>0</v>
      </c>
      <c r="J253" s="31">
        <f>Dodatni!I50</f>
        <v>12570</v>
      </c>
      <c r="K253" s="31">
        <f>Dodatni!J50</f>
        <v>15161</v>
      </c>
    </row>
    <row r="254" spans="4:11" ht="12.75">
      <c r="D254" s="4" t="s">
        <v>1522</v>
      </c>
      <c r="E254" s="4">
        <v>3</v>
      </c>
      <c r="F254" s="4">
        <f>Dodatni!H51</f>
        <v>253</v>
      </c>
      <c r="H254" s="30">
        <f t="shared" si="10"/>
        <v>3069277.09</v>
      </c>
      <c r="I254" s="4">
        <f t="shared" si="11"/>
        <v>0</v>
      </c>
      <c r="J254" s="31">
        <f>Dodatni!I51</f>
        <v>178515</v>
      </c>
      <c r="K254" s="31">
        <f>Dodatni!J51</f>
        <v>517319</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535288</v>
      </c>
      <c r="I261" s="4">
        <f t="shared" si="11"/>
        <v>0</v>
      </c>
      <c r="J261" s="31">
        <f>Dodatni!I58</f>
        <v>84840</v>
      </c>
      <c r="K261" s="31">
        <f>Dodatni!J58</f>
        <v>60520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541936.52</v>
      </c>
      <c r="I263" s="4">
        <f t="shared" si="11"/>
        <v>0</v>
      </c>
      <c r="J263" s="31">
        <f>Dodatni!I60</f>
        <v>71504</v>
      </c>
      <c r="K263" s="31">
        <f>Dodatni!J60</f>
        <v>67671</v>
      </c>
    </row>
    <row r="264" spans="4:11" ht="12.75">
      <c r="D264" s="4" t="s">
        <v>1522</v>
      </c>
      <c r="E264" s="4">
        <v>3</v>
      </c>
      <c r="F264" s="4">
        <f>Dodatni!H61</f>
        <v>263</v>
      </c>
      <c r="H264" s="30">
        <f t="shared" si="10"/>
        <v>544004.98</v>
      </c>
      <c r="I264" s="4">
        <f t="shared" si="11"/>
        <v>0</v>
      </c>
      <c r="J264" s="31">
        <f>Dodatni!I61</f>
        <v>71504</v>
      </c>
      <c r="K264" s="31">
        <f>Dodatni!J61</f>
        <v>67671</v>
      </c>
    </row>
    <row r="265" spans="4:11" ht="12.75">
      <c r="D265" s="4" t="s">
        <v>1522</v>
      </c>
      <c r="E265" s="4">
        <v>3</v>
      </c>
      <c r="F265" s="4">
        <f>Dodatni!H62</f>
        <v>264</v>
      </c>
      <c r="H265" s="30">
        <f t="shared" si="10"/>
        <v>1745132.4</v>
      </c>
      <c r="I265" s="4">
        <f t="shared" si="11"/>
        <v>0</v>
      </c>
      <c r="J265" s="31">
        <f>Dodatni!I62</f>
        <v>216899</v>
      </c>
      <c r="K265" s="31">
        <f>Dodatni!J62</f>
        <v>222068</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2835361.11</v>
      </c>
      <c r="I268" s="4">
        <f t="shared" si="11"/>
        <v>0</v>
      </c>
      <c r="J268" s="31">
        <f>Dodatni!I65</f>
        <v>276345</v>
      </c>
      <c r="K268" s="31">
        <f>Dodatni!J65</f>
        <v>392794</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421299.05999999994</v>
      </c>
      <c r="I274" s="4">
        <f t="shared" si="11"/>
        <v>0</v>
      </c>
      <c r="J274" s="31">
        <f>Dodatni!I71</f>
        <v>1788</v>
      </c>
      <c r="K274" s="31">
        <f>Dodatni!J71</f>
        <v>76267</v>
      </c>
    </row>
    <row r="275" spans="4:11" ht="12.75">
      <c r="D275" s="4" t="s">
        <v>1522</v>
      </c>
      <c r="E275" s="4">
        <v>3</v>
      </c>
      <c r="F275" s="4">
        <f>Dodatni!H73</f>
        <v>274</v>
      </c>
      <c r="H275" s="30">
        <f aca="true" t="shared" si="12" ref="H275:H284">J275/100*F275+2*K275/100*F275</f>
        <v>173705.04</v>
      </c>
      <c r="I275" s="4">
        <f aca="true" t="shared" si="13" ref="I275:I284">ABS(ROUND(J275,0)-J275)+ABS(ROUND(K275,0)-K275)</f>
        <v>0</v>
      </c>
      <c r="J275" s="31">
        <f>Dodatni!I73</f>
        <v>41210</v>
      </c>
      <c r="K275" s="31">
        <f>Dodatni!J73</f>
        <v>11093</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302655.74</v>
      </c>
      <c r="I278" s="4">
        <f t="shared" si="13"/>
        <v>0</v>
      </c>
      <c r="J278" s="31">
        <f>Dodatni!I76</f>
        <v>47766</v>
      </c>
      <c r="K278" s="31">
        <f>Dodatni!J76</f>
        <v>30748</v>
      </c>
    </row>
    <row r="279" spans="4:11" ht="12.75">
      <c r="D279" s="4" t="s">
        <v>1522</v>
      </c>
      <c r="E279" s="4">
        <v>3</v>
      </c>
      <c r="F279" s="4">
        <f>Dodatni!H78</f>
        <v>278</v>
      </c>
      <c r="H279" s="30">
        <f t="shared" si="12"/>
        <v>4460590.62</v>
      </c>
      <c r="I279" s="4">
        <f t="shared" si="13"/>
        <v>0</v>
      </c>
      <c r="J279" s="31">
        <f>Dodatni!I78</f>
        <v>495435</v>
      </c>
      <c r="K279" s="31">
        <f>Dodatni!J78</f>
        <v>554547</v>
      </c>
    </row>
    <row r="280" spans="4:11" ht="12.75">
      <c r="D280" s="4" t="s">
        <v>1522</v>
      </c>
      <c r="E280" s="4">
        <v>3</v>
      </c>
      <c r="F280" s="4">
        <f>Dodatni!H79</f>
        <v>279</v>
      </c>
      <c r="H280" s="30">
        <f t="shared" si="12"/>
        <v>439020.45</v>
      </c>
      <c r="I280" s="4">
        <f t="shared" si="13"/>
        <v>0</v>
      </c>
      <c r="J280" s="31">
        <f>Dodatni!I79</f>
        <v>29555</v>
      </c>
      <c r="K280" s="31">
        <f>Dodatni!J79</f>
        <v>63900</v>
      </c>
    </row>
    <row r="281" spans="4:11" ht="12.75">
      <c r="D281" s="4" t="s">
        <v>1522</v>
      </c>
      <c r="E281" s="4">
        <v>3</v>
      </c>
      <c r="F281" s="4">
        <f>Dodatni!H80</f>
        <v>280</v>
      </c>
      <c r="H281" s="30">
        <f t="shared" si="12"/>
        <v>215908</v>
      </c>
      <c r="I281" s="4">
        <f t="shared" si="13"/>
        <v>0</v>
      </c>
      <c r="J281" s="31">
        <f>Dodatni!I80</f>
        <v>12790</v>
      </c>
      <c r="K281" s="31">
        <f>Dodatni!J80</f>
        <v>32160</v>
      </c>
    </row>
    <row r="282" spans="4:11" ht="12.75">
      <c r="D282" s="4" t="s">
        <v>1522</v>
      </c>
      <c r="E282" s="4">
        <v>3</v>
      </c>
      <c r="F282" s="4">
        <f>Dodatni!H81</f>
        <v>281</v>
      </c>
      <c r="H282" s="30">
        <f t="shared" si="12"/>
        <v>3483051.2</v>
      </c>
      <c r="I282" s="4">
        <f t="shared" si="13"/>
        <v>0</v>
      </c>
      <c r="J282" s="31">
        <f>Dodatni!I81</f>
        <v>371250</v>
      </c>
      <c r="K282" s="31">
        <f>Dodatni!J81</f>
        <v>434135</v>
      </c>
    </row>
    <row r="283" spans="4:11" ht="12.75">
      <c r="D283" s="4" t="s">
        <v>1522</v>
      </c>
      <c r="E283" s="4">
        <v>3</v>
      </c>
      <c r="F283" s="4">
        <f>Dodatni!H82</f>
        <v>282</v>
      </c>
      <c r="H283" s="30">
        <f t="shared" si="12"/>
        <v>368134.07999999996</v>
      </c>
      <c r="I283" s="4">
        <f t="shared" si="13"/>
        <v>0</v>
      </c>
      <c r="J283" s="31">
        <f>Dodatni!I82</f>
        <v>81840</v>
      </c>
      <c r="K283" s="31">
        <f>Dodatni!J82</f>
        <v>24352</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4556862.36</v>
      </c>
      <c r="I285" s="4">
        <f aca="true" t="shared" si="15" ref="I285:I291">ABS(ROUND(J285,0)-J285)+ABS(ROUND(K285,0)-K285)</f>
        <v>0</v>
      </c>
      <c r="J285" s="31">
        <f>Dodatni!I84</f>
        <v>495435</v>
      </c>
      <c r="K285" s="31">
        <f>Dodatni!J84</f>
        <v>554547</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76" sqref="C76:J76"/>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LOPAR VRUTAK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51281</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46240349814</v>
      </c>
      <c r="V4" s="211" t="s">
        <v>2356</v>
      </c>
      <c r="W4" s="232" t="str">
        <f>RefStr!F31</f>
        <v>Lopar</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02298732</v>
      </c>
      <c r="V5" s="211" t="s">
        <v>2357</v>
      </c>
      <c r="W5" s="232" t="str">
        <f>RefStr!C33</f>
        <v>Lopar 381/a</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040242669</v>
      </c>
      <c r="V6" s="211" t="s">
        <v>2568</v>
      </c>
      <c r="W6" s="232" t="str">
        <f>RefStr!L35</f>
        <v>051/775-366</v>
      </c>
      <c r="X6" s="211" t="s">
        <v>2514</v>
      </c>
      <c r="Y6" s="232" t="str">
        <f>RefStr!C68</f>
        <v>Jasna Lazarić</v>
      </c>
      <c r="Z6" s="211" t="s">
        <v>1415</v>
      </c>
      <c r="AA6" s="232">
        <f>RefStr!C46</f>
        <v>0</v>
      </c>
    </row>
    <row r="7" spans="1:27" ht="13.5" customHeight="1">
      <c r="A7" s="499"/>
      <c r="B7" s="500"/>
      <c r="C7" s="500"/>
      <c r="D7" s="500"/>
      <c r="E7" s="500"/>
      <c r="F7" s="500"/>
      <c r="G7" s="500"/>
      <c r="H7" s="500"/>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LOPARVRUTAK@NET.HR</v>
      </c>
      <c r="X7" s="211" t="s">
        <v>2515</v>
      </c>
      <c r="Y7" s="232" t="str">
        <f>RefStr!C70</f>
        <v>051/775-366</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Javno trgovačko društvo</v>
      </c>
      <c r="V8" s="211" t="s">
        <v>2574</v>
      </c>
      <c r="W8" s="232" t="str">
        <f>RefStr!C42</f>
        <v>3811</v>
      </c>
      <c r="X8" s="211" t="s">
        <v>2516</v>
      </c>
      <c r="Y8" s="232" t="str">
        <f>TRIM(UPPER(RefStr!C72))</f>
        <v>JASNA@LOPAR-VRUTAK.HR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28</v>
      </c>
      <c r="Q9" s="231">
        <f>RefStr!F58</f>
        <v>31</v>
      </c>
      <c r="R9" s="211" t="s">
        <v>1860</v>
      </c>
      <c r="S9" s="232">
        <f>IF(RefStr!F4&lt;&gt;"",RefStr!F4,0)</f>
        <v>43830</v>
      </c>
      <c r="T9" s="211" t="s">
        <v>1821</v>
      </c>
      <c r="U9" s="232">
        <f>RefStr!C39</f>
        <v>624</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43</v>
      </c>
      <c r="Q10" s="233">
        <f>RefStr!F56</f>
        <v>38</v>
      </c>
      <c r="R10" s="213" t="s">
        <v>1863</v>
      </c>
      <c r="S10" s="233">
        <f>RefStr!C23</f>
        <v>1</v>
      </c>
      <c r="T10" s="213" t="s">
        <v>2573</v>
      </c>
      <c r="U10" s="233" t="str">
        <f>RefStr!D39</f>
        <v>Lopar</v>
      </c>
      <c r="V10" s="240"/>
      <c r="W10" s="241"/>
      <c r="X10" s="242" t="s">
        <v>1974</v>
      </c>
      <c r="Y10" s="243">
        <f>RefStr!F12</f>
        <v>2019</v>
      </c>
      <c r="Z10" s="213" t="s">
        <v>209</v>
      </c>
      <c r="AA10" s="233" t="str">
        <f>RefStr!A75</f>
        <v>Jakuc Zdenko</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87" t="s">
        <v>332</v>
      </c>
      <c r="D76" s="487"/>
      <c r="E76" s="487"/>
      <c r="F76" s="487"/>
      <c r="G76" s="487"/>
      <c r="H76" s="487"/>
      <c r="I76" s="487"/>
      <c r="J76" s="487"/>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O:\dokumenti\d\A Zdenko\Ugovori\Poslovanje Lopar Vrutak\2019\[BILANCNA-analiza - Lopar Vrutak.xls]Sheet1</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100:J100"/>
    <mergeCell ref="C80:J80"/>
    <mergeCell ref="C78:J78"/>
    <mergeCell ref="C77:J77"/>
    <mergeCell ref="C66:J66"/>
    <mergeCell ref="C68:J68"/>
    <mergeCell ref="C70:J70"/>
    <mergeCell ref="C67:J67"/>
    <mergeCell ref="C69:J69"/>
    <mergeCell ref="C47:J47"/>
    <mergeCell ref="C104:J104"/>
    <mergeCell ref="C103:J103"/>
    <mergeCell ref="C76:J76"/>
    <mergeCell ref="C90:J90"/>
    <mergeCell ref="C89:J89"/>
    <mergeCell ref="C75:J75"/>
    <mergeCell ref="C57:J57"/>
    <mergeCell ref="C74:J74"/>
    <mergeCell ref="C101:J101"/>
    <mergeCell ref="C62:J62"/>
    <mergeCell ref="C71:J71"/>
    <mergeCell ref="C97:J97"/>
    <mergeCell ref="C84:J84"/>
    <mergeCell ref="C45:J45"/>
    <mergeCell ref="C50:J50"/>
    <mergeCell ref="C79:J79"/>
    <mergeCell ref="C95:J95"/>
    <mergeCell ref="C96:J96"/>
    <mergeCell ref="C49:J49"/>
    <mergeCell ref="C72:J72"/>
    <mergeCell ref="C88:J88"/>
    <mergeCell ref="C82:J82"/>
    <mergeCell ref="C86:J86"/>
    <mergeCell ref="C87:J87"/>
    <mergeCell ref="C83:J83"/>
    <mergeCell ref="C85:J85"/>
    <mergeCell ref="A73:J73"/>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6" activePane="bottomLeft" state="frozen"/>
      <selection pane="topLeft" activeCell="A1" sqref="A1"/>
      <selection pane="bottomLeft" activeCell="F59" sqref="F5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2019</v>
      </c>
      <c r="G12" s="349"/>
      <c r="H12" s="341" t="s">
        <v>2105</v>
      </c>
      <c r="I12" s="342"/>
      <c r="J12" s="342"/>
      <c r="K12" s="156"/>
      <c r="L12" s="156"/>
      <c r="M12" s="156"/>
      <c r="N12" s="156"/>
      <c r="P12" s="54" t="s">
        <v>2353</v>
      </c>
      <c r="Q12" s="55">
        <f>INT(VALUE(H27))/10</f>
        <v>229873.2</v>
      </c>
    </row>
    <row r="13" spans="4:17" ht="9.75" customHeight="1">
      <c r="D13" s="156"/>
      <c r="E13" s="162"/>
      <c r="H13" s="27"/>
      <c r="I13" s="163"/>
      <c r="J13" s="163"/>
      <c r="K13" s="156"/>
      <c r="L13" s="156"/>
      <c r="M13" s="156"/>
      <c r="N13" s="156"/>
      <c r="P13" s="54" t="s">
        <v>2353</v>
      </c>
      <c r="Q13" s="55">
        <f>INT(VALUE(M27))/50</f>
        <v>804853.38</v>
      </c>
    </row>
    <row r="14" spans="1:17" ht="15">
      <c r="A14" s="340" t="s">
        <v>2714</v>
      </c>
      <c r="B14" s="340"/>
      <c r="C14" s="340"/>
      <c r="D14" s="164"/>
      <c r="E14" s="165"/>
      <c r="F14" s="338"/>
      <c r="G14" s="339"/>
      <c r="H14" s="339"/>
      <c r="I14" s="156"/>
      <c r="J14" s="346" t="s">
        <v>2100</v>
      </c>
      <c r="K14" s="347"/>
      <c r="L14" s="347"/>
      <c r="M14" s="347"/>
      <c r="N14" s="347"/>
      <c r="P14" s="54" t="s">
        <v>2718</v>
      </c>
      <c r="Q14" s="55">
        <f>INT(VALUE(C27))/100</f>
        <v>462403498.14</v>
      </c>
    </row>
    <row r="15" spans="1:17" ht="19.5" customHeight="1">
      <c r="A15" s="343">
        <f>Skriveni!B59</f>
        <v>873327877.97</v>
      </c>
      <c r="B15" s="344"/>
      <c r="C15" s="345"/>
      <c r="D15" s="60"/>
      <c r="E15" s="60"/>
      <c r="F15" s="60"/>
      <c r="G15" s="60"/>
      <c r="H15" s="60"/>
      <c r="I15" s="60"/>
      <c r="J15" s="60"/>
      <c r="K15" s="60"/>
      <c r="L15" s="60"/>
      <c r="M15" s="60"/>
      <c r="N15" s="60"/>
      <c r="P15" s="54" t="s">
        <v>1817</v>
      </c>
      <c r="Q15" s="55">
        <f>LEN(Skriveni!B9)</f>
        <v>19</v>
      </c>
    </row>
    <row r="16" spans="4:17" ht="12.75" customHeight="1">
      <c r="D16" s="60"/>
      <c r="E16" s="60"/>
      <c r="F16" s="60"/>
      <c r="G16" s="60"/>
      <c r="H16" s="60"/>
      <c r="I16" s="60"/>
      <c r="P16" s="54" t="s">
        <v>1818</v>
      </c>
      <c r="Q16" s="55">
        <f>INT(VALUE(C31))/100</f>
        <v>512.81</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11</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624</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51281</v>
      </c>
      <c r="D31" s="329" t="s">
        <v>693</v>
      </c>
      <c r="E31" s="330"/>
      <c r="F31" s="323" t="s">
        <v>2796</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2959</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2960</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624</v>
      </c>
      <c r="D39" s="326" t="str">
        <f>IF(C39="","Šifra grada/općine nije upisana",IF(ISNA(LOOKUP(C39,A177:A732,A177:A732)),"Šifra grada/općine ne postoji",IF(LOOKUP(C39,A177:A732,A177:A732)&lt;&gt;C39,"Šifra grada/općine ne postoji",LOOKUP(C39,A177:A732,B177:B732))))</f>
        <v>Lopar</v>
      </c>
      <c r="E39" s="327"/>
      <c r="F39" s="327"/>
      <c r="G39" s="327"/>
      <c r="H39" s="314" t="s">
        <v>2222</v>
      </c>
      <c r="I39" s="292"/>
      <c r="J39" s="58">
        <f>IF(C39&gt;0,LOOKUP(C39,A177:A732,C177:C732),"")</f>
        <v>8</v>
      </c>
      <c r="K39" s="315" t="str">
        <f>IF(J39="","Treba prvo upisati šifru grada/općine",LOOKUP(J39,A153:A173,B153:B173))</f>
        <v>PRIMORSKO-GORANSKA</v>
      </c>
      <c r="L39" s="315"/>
      <c r="M39" s="315"/>
      <c r="N39" s="315"/>
      <c r="P39" s="54" t="s">
        <v>1826</v>
      </c>
      <c r="Q39" s="55">
        <f>C56+2*F56+3*C58+4*F58</f>
        <v>327</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43</v>
      </c>
      <c r="D56" s="272" t="s">
        <v>2898</v>
      </c>
      <c r="E56" s="273"/>
      <c r="F56" s="44">
        <v>38</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28</v>
      </c>
      <c r="D58" s="309" t="s">
        <v>2898</v>
      </c>
      <c r="E58" s="309"/>
      <c r="F58" s="44">
        <v>31</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2961</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2959</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2962</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2963</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62" activePane="bottomLeft" state="frozen"/>
      <selection pane="topLeft" activeCell="A1" sqref="A1"/>
      <selection pane="bottomLeft" activeCell="J62" sqref="J62"/>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46240349814; LOPAR VRUTAK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2607500</v>
      </c>
      <c r="J10" s="70">
        <f>J11+J18+J28+J39+J44</f>
        <v>2426083</v>
      </c>
    </row>
    <row r="11" spans="1:10" ht="13.5" customHeight="1">
      <c r="A11" s="382" t="s">
        <v>1850</v>
      </c>
      <c r="B11" s="382"/>
      <c r="C11" s="382"/>
      <c r="D11" s="382"/>
      <c r="E11" s="382"/>
      <c r="F11" s="382"/>
      <c r="G11" s="19">
        <v>3</v>
      </c>
      <c r="H11" s="20"/>
      <c r="I11" s="70">
        <f>SUM(I12:I17)</f>
        <v>130675</v>
      </c>
      <c r="J11" s="70">
        <f>SUM(J12:J17)</f>
        <v>119932</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9515</v>
      </c>
      <c r="J13" s="71">
        <v>20208</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v>121160</v>
      </c>
      <c r="J17" s="71">
        <v>99724</v>
      </c>
    </row>
    <row r="18" spans="1:10" ht="13.5" customHeight="1">
      <c r="A18" s="382" t="s">
        <v>731</v>
      </c>
      <c r="B18" s="382"/>
      <c r="C18" s="382"/>
      <c r="D18" s="382"/>
      <c r="E18" s="382"/>
      <c r="F18" s="382"/>
      <c r="G18" s="19">
        <v>10</v>
      </c>
      <c r="H18" s="20"/>
      <c r="I18" s="70">
        <f>SUM(I19:I27)</f>
        <v>2476825</v>
      </c>
      <c r="J18" s="70">
        <f>SUM(J19:J27)</f>
        <v>2306151</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97308</v>
      </c>
      <c r="J20" s="71">
        <v>139691</v>
      </c>
    </row>
    <row r="21" spans="1:10" ht="13.5" customHeight="1">
      <c r="A21" s="381" t="s">
        <v>2177</v>
      </c>
      <c r="B21" s="381"/>
      <c r="C21" s="381"/>
      <c r="D21" s="381"/>
      <c r="E21" s="381"/>
      <c r="F21" s="381"/>
      <c r="G21" s="19">
        <v>13</v>
      </c>
      <c r="H21" s="20"/>
      <c r="I21" s="71">
        <v>48475</v>
      </c>
      <c r="J21" s="71">
        <v>55351</v>
      </c>
    </row>
    <row r="22" spans="1:10" ht="13.5" customHeight="1">
      <c r="A22" s="381" t="s">
        <v>2290</v>
      </c>
      <c r="B22" s="381"/>
      <c r="C22" s="381"/>
      <c r="D22" s="381"/>
      <c r="E22" s="381"/>
      <c r="F22" s="381"/>
      <c r="G22" s="19">
        <v>14</v>
      </c>
      <c r="H22" s="20"/>
      <c r="I22" s="71">
        <v>1318527</v>
      </c>
      <c r="J22" s="71">
        <v>1047774</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1011661</v>
      </c>
      <c r="J25" s="71">
        <v>1052543</v>
      </c>
    </row>
    <row r="26" spans="1:10" ht="13.5" customHeight="1">
      <c r="A26" s="381" t="s">
        <v>1084</v>
      </c>
      <c r="B26" s="381"/>
      <c r="C26" s="381"/>
      <c r="D26" s="381"/>
      <c r="E26" s="381"/>
      <c r="F26" s="381"/>
      <c r="G26" s="19">
        <v>18</v>
      </c>
      <c r="H26" s="20"/>
      <c r="I26" s="71">
        <v>854</v>
      </c>
      <c r="J26" s="71">
        <v>10792</v>
      </c>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2876291</v>
      </c>
      <c r="J45" s="70">
        <f>J46+J54+J61+J71</f>
        <v>2432550</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1005513</v>
      </c>
      <c r="J54" s="70">
        <f>SUM(J55:J60)</f>
        <v>949371</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784653</v>
      </c>
      <c r="J57" s="71">
        <v>744311</v>
      </c>
    </row>
    <row r="58" spans="1:10" ht="13.5" customHeight="1">
      <c r="A58" s="381" t="s">
        <v>350</v>
      </c>
      <c r="B58" s="381"/>
      <c r="C58" s="381"/>
      <c r="D58" s="381"/>
      <c r="E58" s="381"/>
      <c r="F58" s="381"/>
      <c r="G58" s="19">
        <v>50</v>
      </c>
      <c r="H58" s="20"/>
      <c r="I58" s="71">
        <v>600</v>
      </c>
      <c r="J58" s="71">
        <v>5700</v>
      </c>
    </row>
    <row r="59" spans="1:10" ht="13.5" customHeight="1">
      <c r="A59" s="381" t="s">
        <v>351</v>
      </c>
      <c r="B59" s="381"/>
      <c r="C59" s="381"/>
      <c r="D59" s="381"/>
      <c r="E59" s="381"/>
      <c r="F59" s="381"/>
      <c r="G59" s="19">
        <v>51</v>
      </c>
      <c r="H59" s="20"/>
      <c r="I59" s="71">
        <v>194497</v>
      </c>
      <c r="J59" s="71">
        <v>167362</v>
      </c>
    </row>
    <row r="60" spans="1:10" ht="13.5" customHeight="1">
      <c r="A60" s="381" t="s">
        <v>2638</v>
      </c>
      <c r="B60" s="381"/>
      <c r="C60" s="381"/>
      <c r="D60" s="381"/>
      <c r="E60" s="381"/>
      <c r="F60" s="381"/>
      <c r="G60" s="19">
        <v>52</v>
      </c>
      <c r="H60" s="20"/>
      <c r="I60" s="71">
        <v>25763</v>
      </c>
      <c r="J60" s="71">
        <v>31998</v>
      </c>
    </row>
    <row r="61" spans="1:10" ht="13.5" customHeight="1">
      <c r="A61" s="382" t="s">
        <v>2649</v>
      </c>
      <c r="B61" s="382"/>
      <c r="C61" s="382"/>
      <c r="D61" s="382"/>
      <c r="E61" s="382"/>
      <c r="F61" s="382"/>
      <c r="G61" s="19">
        <v>53</v>
      </c>
      <c r="H61" s="20"/>
      <c r="I61" s="70">
        <f>SUM(I62:I70)</f>
        <v>0</v>
      </c>
      <c r="J61" s="70">
        <f>SUM(J62:J70)</f>
        <v>720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v>720</v>
      </c>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1870778</v>
      </c>
      <c r="J71" s="71">
        <v>1482459</v>
      </c>
    </row>
    <row r="72" spans="1:10" ht="24.75" customHeight="1">
      <c r="A72" s="383" t="s">
        <v>1558</v>
      </c>
      <c r="B72" s="383"/>
      <c r="C72" s="383"/>
      <c r="D72" s="383"/>
      <c r="E72" s="383"/>
      <c r="F72" s="383"/>
      <c r="G72" s="19">
        <v>64</v>
      </c>
      <c r="H72" s="20"/>
      <c r="I72" s="71">
        <v>82000</v>
      </c>
      <c r="J72" s="71">
        <v>73573</v>
      </c>
    </row>
    <row r="73" spans="1:10" ht="13.5" customHeight="1">
      <c r="A73" s="383" t="s">
        <v>2650</v>
      </c>
      <c r="B73" s="383"/>
      <c r="C73" s="383"/>
      <c r="D73" s="383"/>
      <c r="E73" s="383"/>
      <c r="F73" s="383"/>
      <c r="G73" s="19">
        <v>65</v>
      </c>
      <c r="H73" s="20"/>
      <c r="I73" s="70">
        <f>I9+I10+I45+I72</f>
        <v>5565791</v>
      </c>
      <c r="J73" s="70">
        <f>J9+J10+J45+J72</f>
        <v>4932206</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3017484</v>
      </c>
      <c r="J76" s="70">
        <f>J77+J78+J79+J85+J86+J90+J93+J96</f>
        <v>3051881</v>
      </c>
      <c r="L76" s="2" t="s">
        <v>2591</v>
      </c>
    </row>
    <row r="77" spans="1:10" ht="13.5" customHeight="1">
      <c r="A77" s="382" t="s">
        <v>935</v>
      </c>
      <c r="B77" s="382"/>
      <c r="C77" s="382"/>
      <c r="D77" s="382"/>
      <c r="E77" s="382"/>
      <c r="F77" s="382"/>
      <c r="G77" s="19">
        <v>68</v>
      </c>
      <c r="H77" s="20"/>
      <c r="I77" s="71">
        <v>2550000</v>
      </c>
      <c r="J77" s="71">
        <v>2550000</v>
      </c>
    </row>
    <row r="78" spans="1:12" ht="13.5" customHeight="1">
      <c r="A78" s="382" t="s">
        <v>936</v>
      </c>
      <c r="B78" s="382"/>
      <c r="C78" s="382"/>
      <c r="D78" s="382"/>
      <c r="E78" s="382"/>
      <c r="F78" s="382"/>
      <c r="G78" s="19">
        <v>69</v>
      </c>
      <c r="H78" s="20"/>
      <c r="I78" s="71">
        <v>93</v>
      </c>
      <c r="J78" s="71">
        <v>93</v>
      </c>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265799</v>
      </c>
      <c r="J90" s="70">
        <f>J91-J92</f>
        <v>467392</v>
      </c>
      <c r="L90" s="2" t="s">
        <v>2591</v>
      </c>
    </row>
    <row r="91" spans="1:10" ht="13.5" customHeight="1">
      <c r="A91" s="381" t="s">
        <v>1139</v>
      </c>
      <c r="B91" s="381"/>
      <c r="C91" s="381"/>
      <c r="D91" s="381"/>
      <c r="E91" s="381"/>
      <c r="F91" s="381"/>
      <c r="G91" s="19">
        <v>82</v>
      </c>
      <c r="H91" s="20"/>
      <c r="I91" s="71">
        <v>265799</v>
      </c>
      <c r="J91" s="71">
        <v>467392</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201592</v>
      </c>
      <c r="J93" s="70">
        <f>J94-J95</f>
        <v>34396</v>
      </c>
      <c r="L93" s="2" t="s">
        <v>2591</v>
      </c>
    </row>
    <row r="94" spans="1:10" ht="13.5" customHeight="1">
      <c r="A94" s="381" t="s">
        <v>2640</v>
      </c>
      <c r="B94" s="381"/>
      <c r="C94" s="381"/>
      <c r="D94" s="381"/>
      <c r="E94" s="381"/>
      <c r="F94" s="381"/>
      <c r="G94" s="19">
        <v>85</v>
      </c>
      <c r="H94" s="20"/>
      <c r="I94" s="71">
        <v>201592</v>
      </c>
      <c r="J94" s="71">
        <v>34396</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345057</v>
      </c>
      <c r="J104" s="70">
        <f>SUM(J105:J115)</f>
        <v>61827</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304057</v>
      </c>
      <c r="J110" s="71">
        <v>61827</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v>41000</v>
      </c>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1862693</v>
      </c>
      <c r="J116" s="70">
        <f>SUM(J117:J130)</f>
        <v>1599228</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v>406502</v>
      </c>
      <c r="J122" s="71">
        <v>251055</v>
      </c>
    </row>
    <row r="123" spans="1:10" ht="13.5" customHeight="1">
      <c r="A123" s="381" t="s">
        <v>357</v>
      </c>
      <c r="B123" s="381"/>
      <c r="C123" s="381"/>
      <c r="D123" s="381"/>
      <c r="E123" s="381"/>
      <c r="F123" s="381"/>
      <c r="G123" s="19">
        <v>114</v>
      </c>
      <c r="H123" s="20"/>
      <c r="I123" s="71">
        <v>900</v>
      </c>
      <c r="J123" s="71">
        <v>1400</v>
      </c>
    </row>
    <row r="124" spans="1:10" ht="13.5" customHeight="1">
      <c r="A124" s="381" t="s">
        <v>358</v>
      </c>
      <c r="B124" s="381"/>
      <c r="C124" s="381"/>
      <c r="D124" s="381"/>
      <c r="E124" s="381"/>
      <c r="F124" s="381"/>
      <c r="G124" s="19">
        <v>115</v>
      </c>
      <c r="H124" s="20"/>
      <c r="I124" s="71">
        <v>390457</v>
      </c>
      <c r="J124" s="71">
        <v>244006</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135526</v>
      </c>
      <c r="J126" s="71">
        <v>156441</v>
      </c>
    </row>
    <row r="127" spans="1:10" ht="13.5" customHeight="1">
      <c r="A127" s="381" t="s">
        <v>364</v>
      </c>
      <c r="B127" s="381"/>
      <c r="C127" s="381"/>
      <c r="D127" s="381"/>
      <c r="E127" s="381"/>
      <c r="F127" s="381"/>
      <c r="G127" s="19">
        <v>118</v>
      </c>
      <c r="H127" s="20"/>
      <c r="I127" s="71">
        <v>67861</v>
      </c>
      <c r="J127" s="71">
        <v>84662</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861447</v>
      </c>
      <c r="J130" s="71">
        <v>861664</v>
      </c>
    </row>
    <row r="131" spans="1:10" ht="24.75" customHeight="1">
      <c r="A131" s="383" t="s">
        <v>1560</v>
      </c>
      <c r="B131" s="383"/>
      <c r="C131" s="383"/>
      <c r="D131" s="383"/>
      <c r="E131" s="383"/>
      <c r="F131" s="383"/>
      <c r="G131" s="19">
        <v>122</v>
      </c>
      <c r="H131" s="20"/>
      <c r="I131" s="71">
        <v>340557</v>
      </c>
      <c r="J131" s="71">
        <v>219270</v>
      </c>
    </row>
    <row r="132" spans="1:10" ht="13.5" customHeight="1">
      <c r="A132" s="383" t="s">
        <v>2657</v>
      </c>
      <c r="B132" s="383"/>
      <c r="C132" s="383"/>
      <c r="D132" s="383"/>
      <c r="E132" s="383"/>
      <c r="F132" s="383"/>
      <c r="G132" s="19">
        <v>123</v>
      </c>
      <c r="H132" s="20"/>
      <c r="I132" s="70">
        <f>I76+I97+I104+I116+I131</f>
        <v>5565791</v>
      </c>
      <c r="J132" s="70">
        <f>J76+J97+J104+J116+J131</f>
        <v>4932206</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46240349814; LOPAR VRUTAK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6942905</v>
      </c>
      <c r="J8" s="84">
        <f>SUM(J9:J13)</f>
        <v>7521242</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6367489</v>
      </c>
      <c r="J10" s="71">
        <v>7140260</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575416</v>
      </c>
      <c r="J13" s="71">
        <v>380982</v>
      </c>
    </row>
    <row r="14" spans="1:10" s="2" customFormat="1" ht="13.5" customHeight="1">
      <c r="A14" s="383" t="s">
        <v>1837</v>
      </c>
      <c r="B14" s="383"/>
      <c r="C14" s="383"/>
      <c r="D14" s="383"/>
      <c r="E14" s="383"/>
      <c r="F14" s="383"/>
      <c r="G14" s="19">
        <v>131</v>
      </c>
      <c r="H14" s="20"/>
      <c r="I14" s="70">
        <f>I15+I16+I20+I24+I25+I26+I29+I36</f>
        <v>6699500</v>
      </c>
      <c r="J14" s="70">
        <f>J15+J16+J20+J24+J25+J26+J29+J36</f>
        <v>7451786</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1994439</v>
      </c>
      <c r="J16" s="70">
        <f>SUM(J17:J19)</f>
        <v>2379270</v>
      </c>
    </row>
    <row r="17" spans="1:10" s="2" customFormat="1" ht="13.5" customHeight="1">
      <c r="A17" s="410" t="s">
        <v>504</v>
      </c>
      <c r="B17" s="410"/>
      <c r="C17" s="410"/>
      <c r="D17" s="410"/>
      <c r="E17" s="410"/>
      <c r="F17" s="410"/>
      <c r="G17" s="19">
        <v>134</v>
      </c>
      <c r="H17" s="20"/>
      <c r="I17" s="71">
        <v>763581</v>
      </c>
      <c r="J17" s="71">
        <v>658067</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1230858</v>
      </c>
      <c r="J19" s="71">
        <v>1721203</v>
      </c>
    </row>
    <row r="20" spans="1:10" s="2" customFormat="1" ht="13.5" customHeight="1">
      <c r="A20" s="381" t="s">
        <v>1839</v>
      </c>
      <c r="B20" s="381"/>
      <c r="C20" s="381"/>
      <c r="D20" s="381"/>
      <c r="E20" s="381"/>
      <c r="F20" s="381"/>
      <c r="G20" s="19">
        <v>137</v>
      </c>
      <c r="H20" s="20"/>
      <c r="I20" s="70">
        <f>SUM(I21:I23)</f>
        <v>2892012</v>
      </c>
      <c r="J20" s="70">
        <f>SUM(J21:J23)</f>
        <v>3328048</v>
      </c>
    </row>
    <row r="21" spans="1:10" s="2" customFormat="1" ht="13.5" customHeight="1">
      <c r="A21" s="410" t="s">
        <v>724</v>
      </c>
      <c r="B21" s="410"/>
      <c r="C21" s="410"/>
      <c r="D21" s="410"/>
      <c r="E21" s="410"/>
      <c r="F21" s="410"/>
      <c r="G21" s="19">
        <v>138</v>
      </c>
      <c r="H21" s="20"/>
      <c r="I21" s="71">
        <v>1862976</v>
      </c>
      <c r="J21" s="71">
        <v>2169632</v>
      </c>
    </row>
    <row r="22" spans="1:10" s="2" customFormat="1" ht="13.5" customHeight="1">
      <c r="A22" s="410" t="s">
        <v>961</v>
      </c>
      <c r="B22" s="410"/>
      <c r="C22" s="410"/>
      <c r="D22" s="410"/>
      <c r="E22" s="410"/>
      <c r="F22" s="410"/>
      <c r="G22" s="19">
        <v>139</v>
      </c>
      <c r="H22" s="20"/>
      <c r="I22" s="71">
        <v>605929</v>
      </c>
      <c r="J22" s="71">
        <v>702607</v>
      </c>
    </row>
    <row r="23" spans="1:10" s="2" customFormat="1" ht="13.5" customHeight="1">
      <c r="A23" s="410" t="s">
        <v>962</v>
      </c>
      <c r="B23" s="410"/>
      <c r="C23" s="410"/>
      <c r="D23" s="410"/>
      <c r="E23" s="410"/>
      <c r="F23" s="410"/>
      <c r="G23" s="19">
        <v>140</v>
      </c>
      <c r="H23" s="20"/>
      <c r="I23" s="71">
        <v>423107</v>
      </c>
      <c r="J23" s="71">
        <v>455809</v>
      </c>
    </row>
    <row r="24" spans="1:10" s="2" customFormat="1" ht="13.5" customHeight="1">
      <c r="A24" s="381" t="s">
        <v>259</v>
      </c>
      <c r="B24" s="381"/>
      <c r="C24" s="381"/>
      <c r="D24" s="381"/>
      <c r="E24" s="381"/>
      <c r="F24" s="381"/>
      <c r="G24" s="19">
        <v>141</v>
      </c>
      <c r="H24" s="20"/>
      <c r="I24" s="71">
        <v>1017411</v>
      </c>
      <c r="J24" s="71">
        <v>790847</v>
      </c>
    </row>
    <row r="25" spans="1:10" s="2" customFormat="1" ht="13.5" customHeight="1">
      <c r="A25" s="381" t="s">
        <v>260</v>
      </c>
      <c r="B25" s="381"/>
      <c r="C25" s="381"/>
      <c r="D25" s="381"/>
      <c r="E25" s="381"/>
      <c r="F25" s="381"/>
      <c r="G25" s="19">
        <v>142</v>
      </c>
      <c r="H25" s="20"/>
      <c r="I25" s="71">
        <v>485349</v>
      </c>
      <c r="J25" s="71">
        <v>548479</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135785</v>
      </c>
      <c r="J29" s="70">
        <f>SUM(J30:J35)</f>
        <v>141262</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v>135785</v>
      </c>
      <c r="J35" s="71">
        <v>141262</v>
      </c>
      <c r="L35" s="2" t="s">
        <v>2591</v>
      </c>
    </row>
    <row r="36" spans="1:10" s="2" customFormat="1" ht="13.5" customHeight="1">
      <c r="A36" s="381" t="s">
        <v>1692</v>
      </c>
      <c r="B36" s="381"/>
      <c r="C36" s="381"/>
      <c r="D36" s="381"/>
      <c r="E36" s="381"/>
      <c r="F36" s="381"/>
      <c r="G36" s="19">
        <v>153</v>
      </c>
      <c r="H36" s="20"/>
      <c r="I36" s="71">
        <v>174504</v>
      </c>
      <c r="J36" s="71">
        <v>263880</v>
      </c>
    </row>
    <row r="37" spans="1:10" s="2" customFormat="1" ht="13.5" customHeight="1">
      <c r="A37" s="383" t="s">
        <v>1842</v>
      </c>
      <c r="B37" s="383"/>
      <c r="C37" s="383"/>
      <c r="D37" s="383"/>
      <c r="E37" s="383"/>
      <c r="F37" s="383"/>
      <c r="G37" s="19">
        <v>154</v>
      </c>
      <c r="H37" s="20"/>
      <c r="I37" s="70">
        <f>SUM(I38:I47)</f>
        <v>56250</v>
      </c>
      <c r="J37" s="70">
        <f>SUM(J38:J47)</f>
        <v>11097</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41210</v>
      </c>
      <c r="J44" s="71">
        <v>11093</v>
      </c>
    </row>
    <row r="45" spans="1:10" s="2" customFormat="1" ht="13.5" customHeight="1">
      <c r="A45" s="381" t="s">
        <v>1428</v>
      </c>
      <c r="B45" s="381"/>
      <c r="C45" s="381"/>
      <c r="D45" s="381"/>
      <c r="E45" s="381"/>
      <c r="F45" s="381"/>
      <c r="G45" s="19">
        <v>162</v>
      </c>
      <c r="H45" s="20"/>
      <c r="I45" s="71">
        <v>15037</v>
      </c>
      <c r="J45" s="71">
        <v>4</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3</v>
      </c>
      <c r="J47" s="71"/>
    </row>
    <row r="48" spans="1:10" s="2" customFormat="1" ht="13.5" customHeight="1">
      <c r="A48" s="383" t="s">
        <v>1843</v>
      </c>
      <c r="B48" s="383"/>
      <c r="C48" s="383"/>
      <c r="D48" s="383"/>
      <c r="E48" s="383"/>
      <c r="F48" s="383"/>
      <c r="G48" s="19">
        <v>165</v>
      </c>
      <c r="H48" s="20"/>
      <c r="I48" s="70">
        <f>SUM(I49:I55)</f>
        <v>47843</v>
      </c>
      <c r="J48" s="70">
        <f>SUM(J49:J55)</f>
        <v>33221</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47767</v>
      </c>
      <c r="J51" s="71">
        <v>30747</v>
      </c>
    </row>
    <row r="52" spans="1:10" s="2" customFormat="1" ht="13.5" customHeight="1">
      <c r="A52" s="404" t="s">
        <v>1439</v>
      </c>
      <c r="B52" s="404"/>
      <c r="C52" s="404"/>
      <c r="D52" s="404"/>
      <c r="E52" s="404"/>
      <c r="F52" s="404"/>
      <c r="G52" s="19">
        <v>169</v>
      </c>
      <c r="H52" s="20"/>
      <c r="I52" s="71">
        <v>76</v>
      </c>
      <c r="J52" s="71">
        <v>2474</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6999155</v>
      </c>
      <c r="J60" s="70">
        <f>J8+J37+J56+J57</f>
        <v>7532339</v>
      </c>
    </row>
    <row r="61" spans="1:10" s="2" customFormat="1" ht="13.5" customHeight="1">
      <c r="A61" s="383" t="s">
        <v>1845</v>
      </c>
      <c r="B61" s="383"/>
      <c r="C61" s="383"/>
      <c r="D61" s="383"/>
      <c r="E61" s="383"/>
      <c r="F61" s="383"/>
      <c r="G61" s="19">
        <v>178</v>
      </c>
      <c r="H61" s="20"/>
      <c r="I61" s="70">
        <f>I14+I48+I58+I59</f>
        <v>6747343</v>
      </c>
      <c r="J61" s="70">
        <f>J14+J48+J58+J59</f>
        <v>7485007</v>
      </c>
    </row>
    <row r="62" spans="1:12" s="2" customFormat="1" ht="13.5" customHeight="1">
      <c r="A62" s="383" t="s">
        <v>2581</v>
      </c>
      <c r="B62" s="383"/>
      <c r="C62" s="383"/>
      <c r="D62" s="383"/>
      <c r="E62" s="383"/>
      <c r="F62" s="383"/>
      <c r="G62" s="19">
        <v>179</v>
      </c>
      <c r="H62" s="20"/>
      <c r="I62" s="70">
        <f>I60-I61</f>
        <v>251812</v>
      </c>
      <c r="J62" s="70">
        <f>J60-J61</f>
        <v>47332</v>
      </c>
      <c r="L62" s="2" t="s">
        <v>2591</v>
      </c>
    </row>
    <row r="63" spans="1:10" s="2" customFormat="1" ht="13.5" customHeight="1">
      <c r="A63" s="404" t="s">
        <v>2658</v>
      </c>
      <c r="B63" s="404"/>
      <c r="C63" s="404"/>
      <c r="D63" s="404"/>
      <c r="E63" s="404"/>
      <c r="F63" s="404"/>
      <c r="G63" s="19">
        <v>180</v>
      </c>
      <c r="H63" s="20"/>
      <c r="I63" s="70">
        <f>IF(I60&gt;I61,I60-I61,0)</f>
        <v>251812</v>
      </c>
      <c r="J63" s="70">
        <f>IF(J60&gt;J61,J60-J61,0)</f>
        <v>47332</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50220</v>
      </c>
      <c r="J65" s="71">
        <v>12936</v>
      </c>
      <c r="L65" s="2" t="s">
        <v>2591</v>
      </c>
    </row>
    <row r="66" spans="1:12" s="2" customFormat="1" ht="13.5" customHeight="1">
      <c r="A66" s="383" t="s">
        <v>2582</v>
      </c>
      <c r="B66" s="383"/>
      <c r="C66" s="383"/>
      <c r="D66" s="383"/>
      <c r="E66" s="383"/>
      <c r="F66" s="383"/>
      <c r="G66" s="19">
        <v>183</v>
      </c>
      <c r="H66" s="20"/>
      <c r="I66" s="70">
        <f>I62-I65</f>
        <v>201592</v>
      </c>
      <c r="J66" s="70">
        <f>J62-J65</f>
        <v>34396</v>
      </c>
      <c r="L66" s="2" t="s">
        <v>2591</v>
      </c>
    </row>
    <row r="67" spans="1:10" s="2" customFormat="1" ht="13.5" customHeight="1">
      <c r="A67" s="404" t="s">
        <v>779</v>
      </c>
      <c r="B67" s="404"/>
      <c r="C67" s="404"/>
      <c r="D67" s="404"/>
      <c r="E67" s="404"/>
      <c r="F67" s="404"/>
      <c r="G67" s="19">
        <v>184</v>
      </c>
      <c r="H67" s="20"/>
      <c r="I67" s="70">
        <f>IF(I66&gt;0,I66,0)</f>
        <v>201592</v>
      </c>
      <c r="J67" s="70">
        <f>IF(J66&gt;0,J66,0)</f>
        <v>34396</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5" activePane="bottomLeft" state="frozen"/>
      <selection pane="topLeft" activeCell="A1" sqref="A1"/>
      <selection pane="bottomLeft" activeCell="J47" sqref="J47"/>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46240349814; LOPAR VRUTAK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v>5655366</v>
      </c>
      <c r="J26" s="77">
        <v>6496231</v>
      </c>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v>377069</v>
      </c>
      <c r="J28" s="77">
        <v>416699</v>
      </c>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v>660123</v>
      </c>
      <c r="J34" s="77">
        <v>612029</v>
      </c>
    </row>
    <row r="35" spans="1:10" s="2" customFormat="1" ht="36" customHeight="1">
      <c r="A35" s="421" t="s">
        <v>273</v>
      </c>
      <c r="B35" s="421"/>
      <c r="C35" s="421"/>
      <c r="D35" s="421"/>
      <c r="E35" s="421"/>
      <c r="F35" s="421"/>
      <c r="G35" s="430"/>
      <c r="H35" s="21">
        <v>241</v>
      </c>
      <c r="I35" s="78">
        <v>52000</v>
      </c>
      <c r="J35" s="78">
        <v>32000</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6367489</v>
      </c>
      <c r="J37" s="94">
        <v>7140260</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v>52000</v>
      </c>
      <c r="J45" s="77">
        <v>32000</v>
      </c>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v>131986</v>
      </c>
      <c r="J47" s="78">
        <v>135785</v>
      </c>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12570</v>
      </c>
      <c r="J50" s="77">
        <v>15161</v>
      </c>
    </row>
    <row r="51" spans="1:10" s="2" customFormat="1" ht="24.75" customHeight="1">
      <c r="A51" s="404" t="s">
        <v>2219</v>
      </c>
      <c r="B51" s="404"/>
      <c r="C51" s="404"/>
      <c r="D51" s="404"/>
      <c r="E51" s="404"/>
      <c r="F51" s="404"/>
      <c r="G51" s="427"/>
      <c r="H51" s="19">
        <v>253</v>
      </c>
      <c r="I51" s="77">
        <v>178515</v>
      </c>
      <c r="J51" s="77">
        <v>517319</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v>84840</v>
      </c>
      <c r="J58" s="77">
        <v>60520</v>
      </c>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71504</v>
      </c>
      <c r="J60" s="77">
        <v>67671</v>
      </c>
    </row>
    <row r="61" spans="1:10" s="2" customFormat="1" ht="13.5" customHeight="1">
      <c r="A61" s="431" t="s">
        <v>2445</v>
      </c>
      <c r="B61" s="431"/>
      <c r="C61" s="431"/>
      <c r="D61" s="431"/>
      <c r="E61" s="431"/>
      <c r="F61" s="431"/>
      <c r="G61" s="432"/>
      <c r="H61" s="19">
        <v>263</v>
      </c>
      <c r="I61" s="77">
        <v>71504</v>
      </c>
      <c r="J61" s="77">
        <v>67671</v>
      </c>
    </row>
    <row r="62" spans="1:10" s="2" customFormat="1" ht="13.5" customHeight="1">
      <c r="A62" s="404" t="s">
        <v>2439</v>
      </c>
      <c r="B62" s="404"/>
      <c r="C62" s="404"/>
      <c r="D62" s="404"/>
      <c r="E62" s="404"/>
      <c r="F62" s="404"/>
      <c r="G62" s="427"/>
      <c r="H62" s="19">
        <v>264</v>
      </c>
      <c r="I62" s="77">
        <v>216899</v>
      </c>
      <c r="J62" s="77">
        <v>222068</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276345</v>
      </c>
      <c r="J65" s="77">
        <v>392794</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v>1788</v>
      </c>
      <c r="J71" s="78">
        <v>76267</v>
      </c>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41210</v>
      </c>
      <c r="J73" s="94">
        <v>11093</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47766</v>
      </c>
      <c r="J76" s="78">
        <v>30748</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495435</v>
      </c>
      <c r="J78" s="228">
        <f>SUM(J79:J82)</f>
        <v>554547</v>
      </c>
    </row>
    <row r="79" spans="1:10" s="2" customFormat="1" ht="13.5" customHeight="1">
      <c r="A79" s="404" t="s">
        <v>629</v>
      </c>
      <c r="B79" s="404"/>
      <c r="C79" s="404"/>
      <c r="D79" s="404"/>
      <c r="E79" s="404"/>
      <c r="F79" s="404"/>
      <c r="G79" s="427"/>
      <c r="H79" s="19">
        <v>279</v>
      </c>
      <c r="I79" s="77">
        <v>29555</v>
      </c>
      <c r="J79" s="77">
        <v>63900</v>
      </c>
    </row>
    <row r="80" spans="1:10" s="2" customFormat="1" ht="13.5" customHeight="1">
      <c r="A80" s="404" t="s">
        <v>630</v>
      </c>
      <c r="B80" s="404"/>
      <c r="C80" s="404"/>
      <c r="D80" s="404"/>
      <c r="E80" s="404"/>
      <c r="F80" s="404"/>
      <c r="G80" s="427"/>
      <c r="H80" s="19">
        <v>280</v>
      </c>
      <c r="I80" s="77">
        <v>12790</v>
      </c>
      <c r="J80" s="77">
        <v>32160</v>
      </c>
    </row>
    <row r="81" spans="1:10" s="2" customFormat="1" ht="13.5" customHeight="1">
      <c r="A81" s="404" t="s">
        <v>1</v>
      </c>
      <c r="B81" s="404"/>
      <c r="C81" s="404"/>
      <c r="D81" s="404"/>
      <c r="E81" s="404"/>
      <c r="F81" s="404"/>
      <c r="G81" s="427"/>
      <c r="H81" s="19">
        <v>281</v>
      </c>
      <c r="I81" s="77">
        <v>371250</v>
      </c>
      <c r="J81" s="77">
        <v>434135</v>
      </c>
    </row>
    <row r="82" spans="1:10" s="2" customFormat="1" ht="36" customHeight="1">
      <c r="A82" s="404" t="s">
        <v>4</v>
      </c>
      <c r="B82" s="404"/>
      <c r="C82" s="404"/>
      <c r="D82" s="404"/>
      <c r="E82" s="404"/>
      <c r="F82" s="404"/>
      <c r="G82" s="427"/>
      <c r="H82" s="19">
        <v>282</v>
      </c>
      <c r="I82" s="77">
        <v>81840</v>
      </c>
      <c r="J82" s="77">
        <v>24352</v>
      </c>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v>495435</v>
      </c>
      <c r="J84" s="77">
        <v>554547</v>
      </c>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46240349814; LOPAR VRUTAK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46240349814; LOPAR VRUTAK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46240349814; LOPAR VRUTAK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Jasna</cp:lastModifiedBy>
  <cp:lastPrinted>2020-03-11T13:17:12Z</cp:lastPrinted>
  <dcterms:created xsi:type="dcterms:W3CDTF">2008-10-17T11:51:54Z</dcterms:created>
  <dcterms:modified xsi:type="dcterms:W3CDTF">2020-03-11T13:31:54Z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